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 vinif_caber-sauvig_O Hig-2014" sheetId="1" r:id="rId1"/>
    <sheet name="Hoja1" sheetId="2" state="hidden" r:id="rId2"/>
  </sheets>
  <definedNames>
    <definedName name="_xlnm.Print_Area" localSheetId="0">' vinif_caber-sauvig_O Hig-2014'!$A$1:$K$103</definedName>
  </definedNames>
  <calcPr fullCalcOnLoad="1"/>
</workbook>
</file>

<file path=xl/sharedStrings.xml><?xml version="1.0" encoding="utf-8"?>
<sst xmlns="http://schemas.openxmlformats.org/spreadsheetml/2006/main" count="175" uniqueCount="124">
  <si>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</si>
  <si>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</si>
  <si>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</si>
  <si>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</si>
  <si>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</si>
  <si>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</si>
  <si>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</si>
  <si>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</si>
  <si>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</si>
  <si>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</si>
  <si>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</si>
  <si>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</si>
  <si>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</si>
  <si>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</si>
  <si>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</si>
  <si>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</si>
  <si>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</si>
  <si>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</si>
  <si>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</si>
  <si>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</si>
  <si>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</si>
  <si>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</si>
  <si>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</si>
  <si>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</si>
  <si>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</si>
  <si>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</si>
  <si>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</si>
  <si>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</si>
  <si>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</si>
  <si>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</si>
  <si>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</si>
  <si>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</si>
  <si>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</si>
  <si>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</si>
  <si>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</si>
  <si>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</si>
  <si>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</si>
  <si>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</si>
  <si>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</si>
  <si>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</si>
  <si>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</si>
  <si>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Otros</t>
  </si>
  <si>
    <t>Cosecha: cortado, seleccionado y embalado</t>
  </si>
  <si>
    <t>Herbicida:</t>
  </si>
  <si>
    <t>Aplicación de pesticidas</t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</si>
  <si>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</si>
  <si>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</si>
  <si>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Aplicación pesticida</t>
  </si>
  <si>
    <t>Poda</t>
  </si>
  <si>
    <t>Amarras de guías</t>
  </si>
  <si>
    <t>Aplicación de fertilizantes</t>
  </si>
  <si>
    <t>Riego y limpia acequias</t>
  </si>
  <si>
    <t>Control de malezas: Alrededor de la planta</t>
  </si>
  <si>
    <t>Deshojar racimos</t>
  </si>
  <si>
    <t>Acarreo de insumos e implementos</t>
  </si>
  <si>
    <t>Flete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</si>
  <si>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</si>
  <si>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t>Ficha Técnico Económica</t>
  </si>
  <si>
    <t>Período</t>
  </si>
  <si>
    <t>Precio ($/unidad)</t>
  </si>
  <si>
    <t>jornada hombre</t>
  </si>
  <si>
    <t>planta</t>
  </si>
  <si>
    <t>unidad</t>
  </si>
  <si>
    <t>hectárea</t>
  </si>
  <si>
    <t>kilo</t>
  </si>
  <si>
    <t>litro</t>
  </si>
  <si>
    <t>Agua de riego</t>
  </si>
  <si>
    <t>febrero</t>
  </si>
  <si>
    <t>marzo a febrero</t>
  </si>
  <si>
    <t>marzo</t>
  </si>
  <si>
    <t>mayo - febrero</t>
  </si>
  <si>
    <t>junio - julio</t>
  </si>
  <si>
    <t>julio - agosto</t>
  </si>
  <si>
    <t>agosto - marzo</t>
  </si>
  <si>
    <t>octubre - marzo</t>
  </si>
  <si>
    <t>diciembre - enero</t>
  </si>
  <si>
    <t>marzo - abril</t>
  </si>
  <si>
    <t>anual</t>
  </si>
  <si>
    <t>agosto - noviembre</t>
  </si>
  <si>
    <t>julio - febrero</t>
  </si>
  <si>
    <t>agosto - octubre</t>
  </si>
  <si>
    <t>octubre - noviembre</t>
  </si>
  <si>
    <t>noviembre - marzo</t>
  </si>
  <si>
    <t>porcentaje</t>
  </si>
  <si>
    <t>Margen neto ($/hectárea)</t>
  </si>
  <si>
    <t>Precio ($/kilo)</t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</si>
  <si>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(7)</t>
    </r>
  </si>
  <si>
    <t>Rendimiento (kilos/hectárea)</t>
  </si>
  <si>
    <t>Costo Unitario ($/kilo)</t>
  </si>
  <si>
    <t xml:space="preserve">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</si>
  <si>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(4) La dosis de fertilización promedio podría variar de acuerdo a los resultados del análisis de suelo.</t>
  </si>
  <si>
    <t>(5) 1,5% mensual simple, tasa de interés promedio de las empresas distribuidoras de insumos.</t>
  </si>
  <si>
    <t>(6) Margen neto corresponde a ingresos totales (precio venta x rendimiento) menos los costos totales.</t>
  </si>
  <si>
    <t>(7) Representa el precio de venta mínimo para cubrir los costos totales de producción.</t>
  </si>
  <si>
    <r>
      <t xml:space="preserve">Cosecha </t>
    </r>
    <r>
      <rPr>
        <vertAlign val="superscript"/>
        <sz val="14"/>
        <rFont val="Arial"/>
        <family val="2"/>
      </rPr>
      <t>(2)</t>
    </r>
  </si>
  <si>
    <t>Rendimiento (kilos/hectárea):</t>
  </si>
  <si>
    <t>Costo jornada hombre ($/jornada hombre):</t>
  </si>
  <si>
    <t>(2) Costo cosecha equivale a cortar la uva y dejarla en el bins.</t>
  </si>
  <si>
    <t>Desbrote (tronco y corona)</t>
  </si>
  <si>
    <t>Reponer postes y alambrados (infraestructura)</t>
  </si>
  <si>
    <t>Chapoda: Sacar exceso de hojas sobre los racimos</t>
  </si>
  <si>
    <r>
      <t>Precio de venta a productor ($/kilo)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</si>
  <si>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Tercel 50 WP</t>
  </si>
  <si>
    <t>Round full II</t>
  </si>
  <si>
    <t>Tecnología: media</t>
  </si>
  <si>
    <t>Región de O Higgins</t>
  </si>
  <si>
    <t>1 hectárea abril 2014</t>
  </si>
  <si>
    <t>Variedad: Cabernet suavignon</t>
  </si>
  <si>
    <t>Destino de producción: Industria vitivinícola</t>
  </si>
  <si>
    <t>Cosecha: marzo-abril</t>
  </si>
  <si>
    <t>Régimen hídrigo: riego por surco</t>
  </si>
  <si>
    <t>Densidad (plantas/ha): 2.667 (2,5 X 1,5)</t>
  </si>
  <si>
    <t>Inicio ciclo: mayo</t>
  </si>
  <si>
    <t>octubre-noviembre</t>
  </si>
  <si>
    <t>Nitrato de amonio</t>
  </si>
  <si>
    <t>Podexal</t>
  </si>
  <si>
    <t>Azufre en polvo</t>
  </si>
  <si>
    <t>(1) El precio del kilo de uva para vino, corresponde al promedio de la región durante el periodo de cosecha en el predio en la temporada 2013/2014. El peso promedio de un bins con uva se estimó en 450 kg.</t>
  </si>
  <si>
    <t xml:space="preserve"> Urea</t>
  </si>
  <si>
    <t>Vid Vinífera -cosecha manual</t>
  </si>
  <si>
    <t>(Precios sin IVA)</t>
  </si>
  <si>
    <t>Reponer postes</t>
  </si>
  <si>
    <t>Cinta de amarra</t>
  </si>
  <si>
    <r>
      <t>Análisis foliar</t>
    </r>
    <r>
      <rPr>
        <vertAlign val="superscript"/>
        <sz val="14"/>
        <rFont val="Arial"/>
        <family val="2"/>
      </rPr>
      <t>(4)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</si>
</sst>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41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60" fillId="34" borderId="14" xfId="0" applyFont="1" applyFill="1" applyBorder="1" applyAlignment="1">
      <alignment/>
    </xf>
    <xf numFmtId="3" fontId="64" fillId="34" borderId="17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18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9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0" fontId="8" fillId="34" borderId="20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20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5" fillId="34" borderId="25" xfId="67" applyNumberFormat="1" applyFont="1" applyFill="1" applyBorder="1" applyAlignment="1" applyProtection="1">
      <alignment horizontal="lef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2" fillId="37" borderId="0" xfId="0" applyFont="1" applyFill="1" applyAlignment="1">
      <alignment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181" fontId="10" fillId="34" borderId="22" xfId="56" applyNumberFormat="1" applyFont="1" applyFill="1" applyBorder="1" applyAlignment="1" applyProtection="1">
      <alignment horizontal="center"/>
      <protection/>
    </xf>
    <xf numFmtId="3" fontId="10" fillId="0" borderId="19" xfId="67" applyNumberFormat="1" applyFont="1" applyFill="1" applyBorder="1" applyAlignment="1" applyProtection="1">
      <alignment horizontal="center"/>
      <protection/>
    </xf>
    <xf numFmtId="3" fontId="10" fillId="34" borderId="20" xfId="67" applyNumberFormat="1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1" fontId="62" fillId="23" borderId="25" xfId="56" applyNumberFormat="1" applyFont="1" applyFill="1" applyBorder="1" applyAlignment="1" applyProtection="1">
      <alignment horizontal="center" vertical="center" wrapText="1"/>
      <protection/>
    </xf>
    <xf numFmtId="0" fontId="62" fillId="23" borderId="25" xfId="56" applyFont="1" applyFill="1" applyBorder="1" applyAlignment="1" applyProtection="1">
      <alignment horizontal="center" vertical="center" wrapText="1"/>
      <protection/>
    </xf>
    <xf numFmtId="3" fontId="62" fillId="23" borderId="25" xfId="56" applyNumberFormat="1" applyFont="1" applyFill="1" applyBorder="1" applyAlignment="1" applyProtection="1">
      <alignment horizontal="center" vertical="center" wrapText="1"/>
      <protection/>
    </xf>
    <xf numFmtId="3" fontId="62" fillId="23" borderId="18" xfId="56" applyNumberFormat="1" applyFont="1" applyFill="1" applyBorder="1" applyAlignment="1" applyProtection="1">
      <alignment horizontal="center" vertic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184" fontId="10" fillId="34" borderId="22" xfId="67" applyNumberFormat="1" applyFont="1" applyFill="1" applyBorder="1" applyAlignment="1" applyProtection="1">
      <alignment horizontal="right"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4" fontId="10" fillId="34" borderId="23" xfId="67" applyNumberFormat="1" applyFont="1" applyFill="1" applyBorder="1" applyAlignment="1" applyProtection="1">
      <alignment horizontal="center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 vertical="center"/>
      <protection/>
    </xf>
    <xf numFmtId="185" fontId="10" fillId="34" borderId="11" xfId="67" applyNumberFormat="1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>
      <alignment horizontal="center"/>
    </xf>
    <xf numFmtId="195" fontId="8" fillId="34" borderId="17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0" fontId="10" fillId="34" borderId="24" xfId="56" applyFont="1" applyFill="1" applyBorder="1" applyAlignment="1" applyProtection="1">
      <alignment horizontal="center"/>
      <protection/>
    </xf>
    <xf numFmtId="3" fontId="10" fillId="34" borderId="18" xfId="56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center"/>
      <protection/>
    </xf>
    <xf numFmtId="0" fontId="0" fillId="34" borderId="17" xfId="0" applyFill="1" applyBorder="1" applyAlignment="1">
      <alignment/>
    </xf>
    <xf numFmtId="0" fontId="10" fillId="0" borderId="20" xfId="67" applyNumberFormat="1" applyFont="1" applyFill="1" applyBorder="1" applyAlignment="1" applyProtection="1">
      <alignment horizontal="left" indent="1"/>
      <protection/>
    </xf>
    <xf numFmtId="0" fontId="10" fillId="0" borderId="0" xfId="67" applyNumberFormat="1" applyFont="1" applyFill="1" applyBorder="1" applyAlignment="1" applyProtection="1">
      <alignment horizontal="left"/>
      <protection/>
    </xf>
    <xf numFmtId="0" fontId="10" fillId="0" borderId="11" xfId="67" applyNumberFormat="1" applyFont="1" applyFill="1" applyBorder="1" applyAlignment="1" applyProtection="1">
      <alignment horizontal="left"/>
      <protection/>
    </xf>
    <xf numFmtId="3" fontId="10" fillId="0" borderId="22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3" fontId="8" fillId="34" borderId="17" xfId="55" applyNumberFormat="1" applyFont="1" applyFill="1" applyBorder="1" applyAlignment="1">
      <alignment horizontal="right"/>
      <protection/>
    </xf>
    <xf numFmtId="3" fontId="60" fillId="34" borderId="0" xfId="0" applyNumberFormat="1" applyFont="1" applyFill="1" applyBorder="1" applyAlignment="1">
      <alignment/>
    </xf>
    <xf numFmtId="10" fontId="8" fillId="34" borderId="11" xfId="69" applyNumberFormat="1" applyFont="1" applyFill="1" applyBorder="1" applyAlignment="1">
      <alignment horizontal="right"/>
    </xf>
    <xf numFmtId="0" fontId="10" fillId="34" borderId="11" xfId="56" applyFont="1" applyFill="1" applyBorder="1" applyAlignment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3" fontId="8" fillId="38" borderId="0" xfId="0" applyNumberFormat="1" applyFont="1" applyFill="1" applyBorder="1" applyAlignment="1">
      <alignment horizontal="center"/>
    </xf>
    <xf numFmtId="17" fontId="10" fillId="34" borderId="19" xfId="67" applyNumberFormat="1" applyFont="1" applyFill="1" applyBorder="1">
      <alignment/>
      <protection/>
    </xf>
    <xf numFmtId="3" fontId="8" fillId="34" borderId="14" xfId="67" applyNumberFormat="1" applyFont="1" applyFill="1" applyBorder="1">
      <alignment/>
      <protection/>
    </xf>
    <xf numFmtId="181" fontId="10" fillId="34" borderId="14" xfId="56" applyNumberFormat="1" applyFont="1" applyFill="1" applyBorder="1" applyAlignment="1">
      <alignment horizontal="center"/>
      <protection/>
    </xf>
    <xf numFmtId="181" fontId="10" fillId="34" borderId="0" xfId="56" applyNumberFormat="1" applyFont="1" applyFill="1" applyAlignment="1">
      <alignment horizontal="center"/>
      <protection/>
    </xf>
    <xf numFmtId="181" fontId="10" fillId="34" borderId="13" xfId="56" applyNumberFormat="1" applyFont="1" applyFill="1" applyBorder="1" applyAlignment="1">
      <alignment horizontal="center"/>
      <protection/>
    </xf>
    <xf numFmtId="0" fontId="10" fillId="34" borderId="0" xfId="56" applyFont="1" applyFill="1" applyAlignment="1">
      <alignment horizontal="center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6" xfId="55" applyFont="1" applyFill="1" applyBorder="1">
      <alignment/>
      <protection/>
    </xf>
    <xf numFmtId="0" fontId="10" fillId="34" borderId="20" xfId="67" applyNumberFormat="1" applyFont="1" applyFill="1" applyBorder="1" applyAlignment="1" quotePrefix="1">
      <alignment horizontal="left"/>
      <protection/>
    </xf>
    <xf numFmtId="0" fontId="10" fillId="34" borderId="0" xfId="67" applyNumberFormat="1" applyFont="1" applyFill="1" applyAlignment="1" quotePrefix="1">
      <alignment horizontal="left"/>
      <protection/>
    </xf>
    <xf numFmtId="0" fontId="10" fillId="34" borderId="0" xfId="56" applyFont="1" applyFill="1" applyAlignment="1" quotePrefix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22" xfId="56" applyFont="1" applyFill="1" applyBorder="1" applyAlignment="1">
      <alignment horizontal="center"/>
      <protection/>
    </xf>
    <xf numFmtId="0" fontId="10" fillId="34" borderId="23" xfId="56" applyFont="1" applyFill="1" applyBorder="1" applyAlignment="1">
      <alignment horizontal="center"/>
      <protection/>
    </xf>
    <xf numFmtId="3" fontId="10" fillId="34" borderId="21" xfId="67" applyNumberFormat="1" applyFont="1" applyFill="1" applyBorder="1" applyAlignment="1">
      <alignment horizontal="center"/>
      <protection/>
    </xf>
    <xf numFmtId="3" fontId="10" fillId="34" borderId="22" xfId="67" applyNumberFormat="1" applyFont="1" applyFill="1" applyBorder="1" applyAlignment="1">
      <alignment horizontal="center"/>
      <protection/>
    </xf>
    <xf numFmtId="3" fontId="10" fillId="34" borderId="23" xfId="67" applyNumberFormat="1" applyFont="1" applyFill="1" applyBorder="1" applyAlignment="1">
      <alignment horizontal="center"/>
      <protection/>
    </xf>
    <xf numFmtId="180" fontId="10" fillId="34" borderId="20" xfId="67" applyFont="1" applyFill="1" applyBorder="1" applyAlignment="1">
      <alignment horizontal="right"/>
      <protection/>
    </xf>
    <xf numFmtId="0" fontId="10" fillId="34" borderId="20" xfId="56" applyFont="1" applyFill="1" applyBorder="1" applyAlignment="1" applyProtection="1">
      <alignment horizontal="center"/>
      <protection/>
    </xf>
    <xf numFmtId="0" fontId="10" fillId="0" borderId="20" xfId="56" applyFont="1" applyFill="1" applyBorder="1" applyAlignment="1" applyProtection="1">
      <alignment horizontal="center"/>
      <protection/>
    </xf>
    <xf numFmtId="180" fontId="10" fillId="34" borderId="20" xfId="67" applyFont="1" applyFill="1" applyBorder="1" applyAlignment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>
      <alignment horizontal="center"/>
      <protection/>
    </xf>
    <xf numFmtId="3" fontId="10" fillId="34" borderId="23" xfId="56" applyNumberFormat="1" applyFont="1" applyFill="1" applyBorder="1" applyAlignment="1">
      <alignment horizontal="center"/>
      <protection/>
    </xf>
    <xf numFmtId="0" fontId="10" fillId="34" borderId="20" xfId="67" applyNumberFormat="1" applyFont="1" applyFill="1" applyBorder="1" applyAlignment="1" applyProtection="1">
      <alignment vertical="top"/>
      <protection/>
    </xf>
    <xf numFmtId="0" fontId="10" fillId="0" borderId="20" xfId="67" applyNumberFormat="1" applyFont="1" applyFill="1" applyBorder="1" applyAlignment="1" applyProtection="1">
      <alignment/>
      <protection/>
    </xf>
    <xf numFmtId="180" fontId="10" fillId="34" borderId="0" xfId="67" applyFont="1" applyFill="1" applyBorder="1">
      <alignment/>
      <protection/>
    </xf>
    <xf numFmtId="180" fontId="8" fillId="34" borderId="0" xfId="67" applyFont="1" applyFill="1" applyBorder="1">
      <alignment/>
      <protection/>
    </xf>
    <xf numFmtId="180" fontId="10" fillId="34" borderId="15" xfId="67" applyFont="1" applyFill="1" applyBorder="1" applyAlignment="1" quotePrefix="1">
      <alignment horizontal="left"/>
      <protection/>
    </xf>
    <xf numFmtId="180" fontId="10" fillId="34" borderId="13" xfId="67" applyFont="1" applyFill="1" applyBorder="1">
      <alignment/>
      <protection/>
    </xf>
    <xf numFmtId="180" fontId="8" fillId="34" borderId="13" xfId="67" applyFont="1" applyFill="1" applyBorder="1">
      <alignment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2" fontId="11" fillId="34" borderId="13" xfId="67" applyNumberFormat="1" applyFont="1" applyFill="1" applyBorder="1" applyAlignment="1">
      <alignment horizontal="center" vertical="center" wrapText="1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63" fillId="23" borderId="24" xfId="56" applyFont="1" applyFill="1" applyBorder="1" applyAlignment="1" applyProtection="1">
      <alignment horizontal="center" vertical="center"/>
      <protection/>
    </xf>
    <xf numFmtId="0" fontId="63" fillId="23" borderId="25" xfId="56" applyFont="1" applyFill="1" applyBorder="1" applyAlignment="1" applyProtection="1">
      <alignment horizontal="center" vertical="center"/>
      <protection/>
    </xf>
    <xf numFmtId="183" fontId="10" fillId="34" borderId="12" xfId="0" applyNumberFormat="1" applyFont="1" applyFill="1" applyBorder="1" applyAlignment="1">
      <alignment horizontal="center"/>
    </xf>
    <xf numFmtId="3" fontId="8" fillId="38" borderId="12" xfId="0" applyNumberFormat="1" applyFont="1" applyFill="1" applyBorder="1" applyAlignment="1">
      <alignment horizontal="center"/>
    </xf>
    <xf numFmtId="0" fontId="62" fillId="39" borderId="15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0" fontId="62" fillId="39" borderId="16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 vertical="center" wrapText="1"/>
    </xf>
    <xf numFmtId="0" fontId="62" fillId="23" borderId="25" xfId="56" applyFont="1" applyFill="1" applyBorder="1" applyAlignment="1" applyProtection="1">
      <alignment horizontal="center" vertical="center"/>
      <protection/>
    </xf>
    <xf numFmtId="0" fontId="8" fillId="34" borderId="20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20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10" fillId="34" borderId="20" xfId="56" applyFont="1" applyFill="1" applyBorder="1" applyAlignment="1">
      <alignment horizontal="left"/>
      <protection/>
    </xf>
    <xf numFmtId="0" fontId="62" fillId="23" borderId="24" xfId="56" applyFont="1" applyFill="1" applyBorder="1" applyAlignment="1" applyProtection="1">
      <alignment horizontal="left"/>
      <protection/>
    </xf>
    <xf numFmtId="0" fontId="62" fillId="23" borderId="25" xfId="56" applyFont="1" applyFill="1" applyBorder="1" applyAlignment="1" applyProtection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8" fillId="36" borderId="19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62" fillId="39" borderId="19" xfId="0" applyFont="1" applyFill="1" applyBorder="1" applyAlignment="1">
      <alignment horizontal="center"/>
    </xf>
    <xf numFmtId="0" fontId="62" fillId="39" borderId="14" xfId="0" applyFont="1" applyFill="1" applyBorder="1" applyAlignment="1">
      <alignment horizontal="center"/>
    </xf>
    <xf numFmtId="0" fontId="62" fillId="39" borderId="17" xfId="0" applyFont="1" applyFill="1" applyBorder="1" applyAlignment="1">
      <alignment horizontal="center"/>
    </xf>
    <xf numFmtId="183" fontId="10" fillId="34" borderId="13" xfId="0" applyNumberFormat="1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18" xfId="0" applyNumberFormat="1" applyFont="1" applyFill="1" applyBorder="1" applyAlignment="1">
      <alignment horizontal="center"/>
    </xf>
    <xf numFmtId="183" fontId="10" fillId="34" borderId="24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3" fontId="8" fillId="36" borderId="17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0" fontId="62" fillId="39" borderId="19" xfId="0" applyFont="1" applyFill="1" applyBorder="1" applyAlignment="1">
      <alignment horizontal="center" vertical="center"/>
    </xf>
    <xf numFmtId="0" fontId="62" fillId="39" borderId="14" xfId="0" applyFont="1" applyFill="1" applyBorder="1" applyAlignment="1">
      <alignment horizontal="center" vertical="center"/>
    </xf>
    <xf numFmtId="0" fontId="62" fillId="39" borderId="17" xfId="0" applyFont="1" applyFill="1" applyBorder="1" applyAlignment="1">
      <alignment horizontal="center" vertical="center"/>
    </xf>
    <xf numFmtId="0" fontId="62" fillId="39" borderId="15" xfId="0" applyFont="1" applyFill="1" applyBorder="1" applyAlignment="1">
      <alignment horizontal="center" vertical="center"/>
    </xf>
    <xf numFmtId="0" fontId="62" fillId="39" borderId="13" xfId="0" applyFont="1" applyFill="1" applyBorder="1" applyAlignment="1">
      <alignment horizontal="center" vertical="center"/>
    </xf>
    <xf numFmtId="0" fontId="62" fillId="39" borderId="16" xfId="0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10" fillId="34" borderId="14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25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62" fillId="40" borderId="19" xfId="55" applyFont="1" applyFill="1" applyBorder="1" applyAlignment="1">
      <alignment horizontal="center"/>
      <protection/>
    </xf>
    <xf numFmtId="0" fontId="62" fillId="40" borderId="14" xfId="55" applyFont="1" applyFill="1" applyBorder="1" applyAlignment="1">
      <alignment horizontal="center"/>
      <protection/>
    </xf>
    <xf numFmtId="0" fontId="62" fillId="40" borderId="17" xfId="55" applyFont="1" applyFill="1" applyBorder="1" applyAlignment="1">
      <alignment horizontal="center"/>
      <protection/>
    </xf>
    <xf numFmtId="0" fontId="62" fillId="40" borderId="24" xfId="55" applyFont="1" applyFill="1" applyBorder="1" applyAlignment="1">
      <alignment horizontal="center"/>
      <protection/>
    </xf>
    <xf numFmtId="0" fontId="62" fillId="40" borderId="25" xfId="55" applyFont="1" applyFill="1" applyBorder="1" applyAlignment="1">
      <alignment horizontal="center"/>
      <protection/>
    </xf>
    <xf numFmtId="0" fontId="62" fillId="40" borderId="18" xfId="55" applyFont="1" applyFill="1" applyBorder="1" applyAlignment="1">
      <alignment horizontal="center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20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0" fontId="10" fillId="34" borderId="17" xfId="56" applyFont="1" applyFill="1" applyBorder="1" applyAlignment="1" applyProtection="1">
      <alignment horizontal="left"/>
      <protection/>
    </xf>
    <xf numFmtId="17" fontId="62" fillId="40" borderId="19" xfId="67" applyNumberFormat="1" applyFont="1" applyFill="1" applyBorder="1" applyAlignment="1" applyProtection="1">
      <alignment horizontal="center"/>
      <protection/>
    </xf>
    <xf numFmtId="17" fontId="62" fillId="40" borderId="14" xfId="67" applyNumberFormat="1" applyFont="1" applyFill="1" applyBorder="1" applyAlignment="1" applyProtection="1">
      <alignment horizontal="center"/>
      <protection/>
    </xf>
    <xf numFmtId="17" fontId="62" fillId="40" borderId="17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0" fontId="10" fillId="34" borderId="20" xfId="67" applyNumberFormat="1" applyFont="1" applyFill="1" applyBorder="1" applyAlignment="1" quotePrefix="1">
      <alignment horizontal="left"/>
      <protection/>
    </xf>
    <xf numFmtId="0" fontId="10" fillId="34" borderId="0" xfId="67" applyNumberFormat="1" applyFont="1" applyFill="1" applyAlignment="1" quotePrefix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181" fontId="10" fillId="34" borderId="14" xfId="67" applyNumberFormat="1" applyFont="1" applyFill="1" applyBorder="1" applyAlignment="1" quotePrefix="1">
      <alignment horizontal="left"/>
      <protection/>
    </xf>
    <xf numFmtId="181" fontId="10" fillId="34" borderId="0" xfId="67" applyNumberFormat="1" applyFont="1" applyFill="1" applyBorder="1" applyAlignment="1" quotePrefix="1">
      <alignment horizontal="left"/>
      <protection/>
    </xf>
    <xf numFmtId="0" fontId="60" fillId="34" borderId="13" xfId="0" applyFont="1" applyFill="1" applyBorder="1" applyAlignment="1" quotePrefix="1">
      <alignment horizontal="left"/>
    </xf>
    <xf numFmtId="180" fontId="10" fillId="34" borderId="20" xfId="67" applyFont="1" applyFill="1" applyBorder="1" applyAlignment="1" quotePrefix="1">
      <alignment horizontal="left"/>
      <protection/>
    </xf>
    <xf numFmtId="180" fontId="10" fillId="34" borderId="0" xfId="67" applyFont="1" applyFill="1" applyBorder="1" applyAlignment="1">
      <alignment horizontal="left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  <xf numFmtId="0" fontId="10" fillId="34" borderId="0" xfId="56" applyFont="1" applyFill="1" applyAlignment="1" quotePrefix="1">
      <alignment horizontal="left"/>
      <protection/>
    </xf>
    <xf numFmtId="0" fontId="10" fillId="34" borderId="0" xfId="56" applyFont="1" applyFill="1" applyAlignment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11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4800"/>
          <a:ext cx="21050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102</xdr:row>
      <xdr:rowOff>0</xdr:rowOff>
    </xdr:from>
    <xdr:to>
      <xdr:col>2</xdr:col>
      <xdr:colOff>628650</xdr:colOff>
      <xdr:row>102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235839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5"/>
  <sheetViews>
    <sheetView showGridLines="0" tabSelected="1" view="pageBreakPreview" zoomScale="70" zoomScaleNormal="70" zoomScaleSheetLayoutView="70" zoomScalePageLayoutView="80" workbookViewId="0" topLeftCell="A1">
      <selection activeCell="E45" sqref="E45:F45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35.421875" style="0" customWidth="1"/>
    <col min="5" max="5" width="12.140625" style="0" customWidth="1"/>
    <col min="6" max="6" width="22.421875" style="0" customWidth="1"/>
    <col min="7" max="7" width="20.140625" style="2" customWidth="1"/>
    <col min="8" max="9" width="25.7109375" style="0" customWidth="1"/>
    <col min="10" max="10" width="15.28125" style="0" bestFit="1" customWidth="1"/>
    <col min="11" max="11" width="9.42187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8"/>
      <c r="C2" s="148"/>
      <c r="D2" s="310" t="s">
        <v>57</v>
      </c>
      <c r="E2" s="310"/>
      <c r="F2" s="310"/>
      <c r="G2" s="310"/>
      <c r="H2" s="310"/>
      <c r="I2" s="310"/>
      <c r="J2" s="310"/>
    </row>
    <row r="3" spans="2:11" s="3" customFormat="1" ht="18" customHeight="1">
      <c r="B3" s="89"/>
      <c r="C3" s="105"/>
      <c r="D3" s="220" t="s">
        <v>119</v>
      </c>
      <c r="E3" s="220"/>
      <c r="F3" s="220"/>
      <c r="G3" s="220"/>
      <c r="H3" s="220"/>
      <c r="I3" s="220"/>
      <c r="J3" s="220"/>
      <c r="K3" s="14"/>
    </row>
    <row r="4" spans="2:11" s="3" customFormat="1" ht="18" customHeight="1">
      <c r="B4" s="89"/>
      <c r="C4" s="105"/>
      <c r="D4" s="220" t="s">
        <v>105</v>
      </c>
      <c r="E4" s="220"/>
      <c r="F4" s="220"/>
      <c r="G4" s="220"/>
      <c r="H4" s="220"/>
      <c r="I4" s="220"/>
      <c r="J4" s="220"/>
      <c r="K4" s="14"/>
    </row>
    <row r="5" spans="2:11" s="3" customFormat="1" ht="18" customHeight="1">
      <c r="B5" s="89"/>
      <c r="C5" s="105"/>
      <c r="D5" s="220" t="s">
        <v>120</v>
      </c>
      <c r="E5" s="220"/>
      <c r="F5" s="220"/>
      <c r="G5" s="220"/>
      <c r="H5" s="220"/>
      <c r="I5" s="220"/>
      <c r="J5" s="220"/>
      <c r="K5" s="14"/>
    </row>
    <row r="6" spans="2:11" s="3" customFormat="1" ht="18" customHeight="1">
      <c r="B6" s="42"/>
      <c r="C6" s="42"/>
      <c r="D6" s="221"/>
      <c r="E6" s="221"/>
      <c r="F6" s="221"/>
      <c r="G6" s="221"/>
      <c r="H6" s="221"/>
      <c r="I6" s="221"/>
      <c r="J6" s="221"/>
      <c r="K6" s="16"/>
    </row>
    <row r="7" spans="2:11" s="3" customFormat="1" ht="18" customHeight="1">
      <c r="B7" s="42"/>
      <c r="C7" s="42"/>
      <c r="D7" s="312" t="s">
        <v>35</v>
      </c>
      <c r="E7" s="313"/>
      <c r="F7" s="313"/>
      <c r="G7" s="313"/>
      <c r="H7" s="313"/>
      <c r="I7" s="313"/>
      <c r="J7" s="314"/>
      <c r="K7" s="16"/>
    </row>
    <row r="8" spans="2:11" s="3" customFormat="1" ht="18" customHeight="1">
      <c r="B8" s="42"/>
      <c r="C8" s="42"/>
      <c r="D8" s="189" t="s">
        <v>106</v>
      </c>
      <c r="E8" s="86"/>
      <c r="F8" s="86"/>
      <c r="G8" s="332" t="s">
        <v>107</v>
      </c>
      <c r="H8" s="332"/>
      <c r="I8" s="190"/>
      <c r="J8" s="87"/>
      <c r="K8" s="16"/>
    </row>
    <row r="9" spans="2:11" s="3" customFormat="1" ht="18" customHeight="1">
      <c r="B9" s="42"/>
      <c r="C9" s="42"/>
      <c r="D9" s="335" t="s">
        <v>110</v>
      </c>
      <c r="E9" s="336"/>
      <c r="F9" s="215"/>
      <c r="G9" s="333" t="s">
        <v>108</v>
      </c>
      <c r="H9" s="333"/>
      <c r="I9" s="333"/>
      <c r="J9" s="91"/>
      <c r="K9" s="16"/>
    </row>
    <row r="10" spans="2:11" s="3" customFormat="1" ht="18" customHeight="1">
      <c r="B10" s="42"/>
      <c r="C10" s="42"/>
      <c r="D10" s="335" t="s">
        <v>111</v>
      </c>
      <c r="E10" s="336"/>
      <c r="F10" s="336"/>
      <c r="G10" s="333" t="s">
        <v>104</v>
      </c>
      <c r="H10" s="333"/>
      <c r="I10" s="216"/>
      <c r="J10" s="91"/>
      <c r="K10" s="18"/>
    </row>
    <row r="11" spans="2:11" s="3" customFormat="1" ht="18" customHeight="1">
      <c r="B11" s="42"/>
      <c r="C11" s="42"/>
      <c r="D11" s="217" t="s">
        <v>112</v>
      </c>
      <c r="E11" s="218"/>
      <c r="F11" s="218"/>
      <c r="G11" s="334" t="s">
        <v>109</v>
      </c>
      <c r="H11" s="334"/>
      <c r="I11" s="219"/>
      <c r="J11" s="92"/>
      <c r="K11" s="18"/>
    </row>
    <row r="12" spans="2:11" s="3" customFormat="1" ht="18" customHeight="1">
      <c r="B12" s="42"/>
      <c r="C12" s="42"/>
      <c r="D12" s="26"/>
      <c r="E12" s="88"/>
      <c r="F12" s="88"/>
      <c r="G12" s="26"/>
      <c r="H12" s="89"/>
      <c r="I12" s="90"/>
      <c r="J12" s="116"/>
      <c r="K12" s="18"/>
    </row>
    <row r="13" spans="2:11" ht="18">
      <c r="B13" s="299" t="s">
        <v>36</v>
      </c>
      <c r="C13" s="300"/>
      <c r="D13" s="300"/>
      <c r="E13" s="301"/>
      <c r="F13" s="41"/>
      <c r="G13" s="302" t="s">
        <v>9</v>
      </c>
      <c r="H13" s="303"/>
      <c r="I13" s="303"/>
      <c r="J13" s="304"/>
      <c r="K13" s="16"/>
    </row>
    <row r="14" spans="2:11" ht="18">
      <c r="B14" s="97" t="s">
        <v>95</v>
      </c>
      <c r="C14" s="98"/>
      <c r="D14" s="86"/>
      <c r="E14" s="183">
        <v>8000</v>
      </c>
      <c r="F14" s="42"/>
      <c r="G14" s="101" t="s">
        <v>4</v>
      </c>
      <c r="H14" s="86"/>
      <c r="I14" s="86"/>
      <c r="J14" s="170">
        <f>E14*E15</f>
        <v>1920000</v>
      </c>
      <c r="K14" s="16"/>
    </row>
    <row r="15" spans="2:13" ht="18" customHeight="1">
      <c r="B15" s="316" t="s">
        <v>101</v>
      </c>
      <c r="C15" s="317"/>
      <c r="D15" s="317"/>
      <c r="E15" s="195">
        <v>240</v>
      </c>
      <c r="F15" s="42"/>
      <c r="G15" s="102" t="s">
        <v>5</v>
      </c>
      <c r="H15" s="42"/>
      <c r="I15" s="42"/>
      <c r="J15" s="171">
        <f>J34+J40+J60</f>
        <v>1091239</v>
      </c>
      <c r="K15" s="16"/>
      <c r="M15" s="134"/>
    </row>
    <row r="16" spans="2:11" ht="18">
      <c r="B16" s="125" t="s">
        <v>96</v>
      </c>
      <c r="C16" s="43"/>
      <c r="D16" s="42"/>
      <c r="E16" s="195">
        <v>12000</v>
      </c>
      <c r="F16" s="184"/>
      <c r="G16" s="102" t="s">
        <v>6</v>
      </c>
      <c r="H16" s="44"/>
      <c r="I16" s="42"/>
      <c r="J16" s="171">
        <f>J34+J40+J60+J64+J69</f>
        <v>1244012.46</v>
      </c>
      <c r="K16" s="16"/>
    </row>
    <row r="17" spans="2:11" ht="18">
      <c r="B17" s="125" t="s">
        <v>2</v>
      </c>
      <c r="C17" s="45"/>
      <c r="D17" s="42"/>
      <c r="E17" s="185">
        <v>0.015</v>
      </c>
      <c r="F17" s="42"/>
      <c r="G17" s="102" t="s">
        <v>7</v>
      </c>
      <c r="H17" s="42"/>
      <c r="I17" s="42"/>
      <c r="J17" s="171">
        <f>J14-J15</f>
        <v>828761</v>
      </c>
      <c r="K17" s="16"/>
    </row>
    <row r="18" spans="2:11" ht="18">
      <c r="B18" s="99" t="s">
        <v>3</v>
      </c>
      <c r="C18" s="100"/>
      <c r="D18" s="93"/>
      <c r="E18" s="196">
        <v>12</v>
      </c>
      <c r="F18" s="42"/>
      <c r="G18" s="102" t="s">
        <v>8</v>
      </c>
      <c r="H18" s="42"/>
      <c r="I18" s="42"/>
      <c r="J18" s="171">
        <f>J14-J16</f>
        <v>675987.54</v>
      </c>
      <c r="K18" s="16"/>
    </row>
    <row r="19" spans="2:11" ht="18">
      <c r="B19" s="126"/>
      <c r="C19" s="45"/>
      <c r="D19" s="42"/>
      <c r="E19" s="131"/>
      <c r="F19" s="42"/>
      <c r="G19" s="103" t="s">
        <v>32</v>
      </c>
      <c r="H19" s="93"/>
      <c r="I19" s="104"/>
      <c r="J19" s="172">
        <f>G90</f>
        <v>155.5015575</v>
      </c>
      <c r="K19" s="16"/>
    </row>
    <row r="20" spans="2:11" s="3" customFormat="1" ht="18">
      <c r="B20" s="42"/>
      <c r="C20" s="42"/>
      <c r="D20" s="42"/>
      <c r="E20" s="20"/>
      <c r="F20" s="20"/>
      <c r="G20" s="21"/>
      <c r="H20" s="22"/>
      <c r="I20" s="23"/>
      <c r="J20" s="23"/>
      <c r="K20" s="16"/>
    </row>
    <row r="21" spans="2:11" s="3" customFormat="1" ht="20.25">
      <c r="B21" s="107" t="s">
        <v>33</v>
      </c>
      <c r="C21" s="106"/>
      <c r="D21" s="106"/>
      <c r="E21" s="315"/>
      <c r="F21" s="315"/>
      <c r="G21" s="108"/>
      <c r="H21" s="109"/>
      <c r="I21" s="120"/>
      <c r="J21" s="110"/>
      <c r="K21" s="16"/>
    </row>
    <row r="22" spans="2:11" s="3" customFormat="1" ht="18">
      <c r="B22" s="242" t="s">
        <v>12</v>
      </c>
      <c r="C22" s="243"/>
      <c r="D22" s="243"/>
      <c r="E22" s="232" t="s">
        <v>58</v>
      </c>
      <c r="F22" s="232"/>
      <c r="G22" s="154" t="s">
        <v>10</v>
      </c>
      <c r="H22" s="155" t="s">
        <v>11</v>
      </c>
      <c r="I22" s="156" t="s">
        <v>59</v>
      </c>
      <c r="J22" s="157" t="s">
        <v>1</v>
      </c>
      <c r="K22" s="16"/>
    </row>
    <row r="23" spans="2:10" s="3" customFormat="1" ht="18">
      <c r="B23" s="143" t="s">
        <v>47</v>
      </c>
      <c r="C23" s="144"/>
      <c r="D23" s="145"/>
      <c r="E23" s="305" t="s">
        <v>70</v>
      </c>
      <c r="F23" s="306"/>
      <c r="G23" s="191">
        <v>4</v>
      </c>
      <c r="H23" s="200" t="s">
        <v>60</v>
      </c>
      <c r="I23" s="203">
        <f>E16</f>
        <v>12000</v>
      </c>
      <c r="J23" s="10">
        <f aca="true" t="shared" si="0" ref="J23:J33">G23*I23</f>
        <v>48000</v>
      </c>
    </row>
    <row r="24" spans="2:10" s="3" customFormat="1" ht="18">
      <c r="B24" s="135" t="s">
        <v>48</v>
      </c>
      <c r="C24" s="136"/>
      <c r="D24" s="137"/>
      <c r="E24" s="241" t="s">
        <v>71</v>
      </c>
      <c r="F24" s="240"/>
      <c r="G24" s="192">
        <v>2667</v>
      </c>
      <c r="H24" s="201" t="s">
        <v>61</v>
      </c>
      <c r="I24" s="204">
        <v>33</v>
      </c>
      <c r="J24" s="10">
        <f t="shared" si="0"/>
        <v>88011</v>
      </c>
    </row>
    <row r="25" spans="2:10" s="3" customFormat="1" ht="18" customHeight="1">
      <c r="B25" s="135" t="s">
        <v>99</v>
      </c>
      <c r="C25" s="136"/>
      <c r="D25" s="137"/>
      <c r="E25" s="241" t="s">
        <v>72</v>
      </c>
      <c r="F25" s="240"/>
      <c r="G25" s="192">
        <v>2</v>
      </c>
      <c r="H25" s="201" t="s">
        <v>60</v>
      </c>
      <c r="I25" s="204">
        <f>E16</f>
        <v>12000</v>
      </c>
      <c r="J25" s="10">
        <f t="shared" si="0"/>
        <v>24000</v>
      </c>
    </row>
    <row r="26" spans="2:10" s="3" customFormat="1" ht="18">
      <c r="B26" s="135" t="s">
        <v>49</v>
      </c>
      <c r="C26" s="136"/>
      <c r="D26" s="137"/>
      <c r="E26" s="241" t="s">
        <v>72</v>
      </c>
      <c r="F26" s="240"/>
      <c r="G26" s="192">
        <v>2</v>
      </c>
      <c r="H26" s="201" t="s">
        <v>60</v>
      </c>
      <c r="I26" s="204">
        <f>E16</f>
        <v>12000</v>
      </c>
      <c r="J26" s="10">
        <f t="shared" si="0"/>
        <v>24000</v>
      </c>
    </row>
    <row r="27" spans="2:10" s="3" customFormat="1" ht="18">
      <c r="B27" s="135" t="s">
        <v>50</v>
      </c>
      <c r="C27" s="136"/>
      <c r="D27" s="137"/>
      <c r="E27" s="241" t="s">
        <v>73</v>
      </c>
      <c r="F27" s="240"/>
      <c r="G27" s="192">
        <v>2</v>
      </c>
      <c r="H27" s="201" t="s">
        <v>60</v>
      </c>
      <c r="I27" s="204">
        <f>E16</f>
        <v>12000</v>
      </c>
      <c r="J27" s="10">
        <f t="shared" si="0"/>
        <v>24000</v>
      </c>
    </row>
    <row r="28" spans="2:10" s="3" customFormat="1" ht="18">
      <c r="B28" s="135" t="s">
        <v>51</v>
      </c>
      <c r="C28" s="136"/>
      <c r="D28" s="137"/>
      <c r="E28" s="241" t="s">
        <v>74</v>
      </c>
      <c r="F28" s="240"/>
      <c r="G28" s="192">
        <v>3</v>
      </c>
      <c r="H28" s="201" t="s">
        <v>60</v>
      </c>
      <c r="I28" s="204">
        <f>E16</f>
        <v>12000</v>
      </c>
      <c r="J28" s="10">
        <f t="shared" si="0"/>
        <v>36000</v>
      </c>
    </row>
    <row r="29" spans="2:10" s="3" customFormat="1" ht="18">
      <c r="B29" s="135" t="s">
        <v>52</v>
      </c>
      <c r="C29" s="136"/>
      <c r="D29" s="137"/>
      <c r="E29" s="241" t="s">
        <v>74</v>
      </c>
      <c r="F29" s="240"/>
      <c r="G29" s="192">
        <v>2</v>
      </c>
      <c r="H29" s="201" t="s">
        <v>60</v>
      </c>
      <c r="I29" s="204">
        <f>E16</f>
        <v>12000</v>
      </c>
      <c r="J29" s="10">
        <f t="shared" si="0"/>
        <v>24000</v>
      </c>
    </row>
    <row r="30" spans="2:10" s="3" customFormat="1" ht="18">
      <c r="B30" s="135" t="s">
        <v>53</v>
      </c>
      <c r="C30" s="136"/>
      <c r="D30" s="137"/>
      <c r="E30" s="241" t="s">
        <v>75</v>
      </c>
      <c r="F30" s="240"/>
      <c r="G30" s="192">
        <v>2667</v>
      </c>
      <c r="H30" s="201" t="s">
        <v>61</v>
      </c>
      <c r="I30" s="204">
        <v>10</v>
      </c>
      <c r="J30" s="10">
        <f t="shared" si="0"/>
        <v>26670</v>
      </c>
    </row>
    <row r="31" spans="2:10" s="3" customFormat="1" ht="18">
      <c r="B31" s="135" t="s">
        <v>98</v>
      </c>
      <c r="C31" s="136"/>
      <c r="D31" s="137"/>
      <c r="E31" s="241" t="s">
        <v>75</v>
      </c>
      <c r="F31" s="240"/>
      <c r="G31" s="192">
        <v>2667</v>
      </c>
      <c r="H31" s="201" t="s">
        <v>61</v>
      </c>
      <c r="I31" s="204">
        <v>12</v>
      </c>
      <c r="J31" s="10">
        <f t="shared" si="0"/>
        <v>32004</v>
      </c>
    </row>
    <row r="32" spans="2:18" s="3" customFormat="1" ht="18">
      <c r="B32" s="135" t="s">
        <v>100</v>
      </c>
      <c r="C32" s="136"/>
      <c r="D32" s="137"/>
      <c r="E32" s="241" t="s">
        <v>67</v>
      </c>
      <c r="F32" s="240"/>
      <c r="G32" s="192">
        <v>2667</v>
      </c>
      <c r="H32" s="201" t="s">
        <v>61</v>
      </c>
      <c r="I32" s="204">
        <v>10</v>
      </c>
      <c r="J32" s="10">
        <f t="shared" si="0"/>
        <v>26670</v>
      </c>
      <c r="R32" s="26"/>
    </row>
    <row r="33" spans="2:10" s="3" customFormat="1" ht="18" customHeight="1">
      <c r="B33" s="140" t="s">
        <v>94</v>
      </c>
      <c r="C33" s="141"/>
      <c r="D33" s="142"/>
      <c r="E33" s="256" t="s">
        <v>76</v>
      </c>
      <c r="F33" s="257"/>
      <c r="G33" s="193">
        <f>E14</f>
        <v>8000</v>
      </c>
      <c r="H33" s="202" t="s">
        <v>64</v>
      </c>
      <c r="I33" s="205">
        <v>30</v>
      </c>
      <c r="J33" s="10">
        <f t="shared" si="0"/>
        <v>240000</v>
      </c>
    </row>
    <row r="34" spans="2:11" ht="18">
      <c r="B34" s="254" t="s">
        <v>13</v>
      </c>
      <c r="C34" s="255"/>
      <c r="D34" s="255"/>
      <c r="E34" s="255"/>
      <c r="F34" s="255"/>
      <c r="G34" s="255"/>
      <c r="H34" s="255"/>
      <c r="I34" s="255"/>
      <c r="J34" s="94">
        <f>SUM(J23:J33)</f>
        <v>593355</v>
      </c>
      <c r="K34" s="3"/>
    </row>
    <row r="35" spans="2:10" s="3" customFormat="1" ht="18">
      <c r="B35" s="84"/>
      <c r="C35" s="84"/>
      <c r="D35" s="84"/>
      <c r="E35" s="84"/>
      <c r="F35" s="84"/>
      <c r="G35" s="25"/>
      <c r="H35" s="84"/>
      <c r="I35" s="84"/>
      <c r="J35" s="27"/>
    </row>
    <row r="36" spans="2:11" s="28" customFormat="1" ht="18">
      <c r="B36" s="242" t="s">
        <v>14</v>
      </c>
      <c r="C36" s="243"/>
      <c r="D36" s="243"/>
      <c r="E36" s="232" t="s">
        <v>58</v>
      </c>
      <c r="F36" s="232"/>
      <c r="G36" s="154" t="s">
        <v>10</v>
      </c>
      <c r="H36" s="155" t="s">
        <v>11</v>
      </c>
      <c r="I36" s="156" t="s">
        <v>59</v>
      </c>
      <c r="J36" s="157" t="s">
        <v>1</v>
      </c>
      <c r="K36" s="3"/>
    </row>
    <row r="37" spans="2:10" s="3" customFormat="1" ht="18">
      <c r="B37" s="297" t="s">
        <v>44</v>
      </c>
      <c r="C37" s="298"/>
      <c r="D37" s="311"/>
      <c r="E37" s="305" t="s">
        <v>70</v>
      </c>
      <c r="F37" s="306"/>
      <c r="G37" s="160">
        <v>4</v>
      </c>
      <c r="H37" s="149" t="s">
        <v>63</v>
      </c>
      <c r="I37" s="151">
        <v>15000</v>
      </c>
      <c r="J37" s="117">
        <f>I37*G37</f>
        <v>60000</v>
      </c>
    </row>
    <row r="38" spans="2:10" s="3" customFormat="1" ht="18">
      <c r="B38" s="330" t="s">
        <v>54</v>
      </c>
      <c r="C38" s="307"/>
      <c r="D38" s="331"/>
      <c r="E38" s="241" t="s">
        <v>68</v>
      </c>
      <c r="F38" s="240"/>
      <c r="G38" s="159">
        <v>1</v>
      </c>
      <c r="H38" s="150" t="s">
        <v>63</v>
      </c>
      <c r="I38" s="152">
        <v>40000</v>
      </c>
      <c r="J38" s="118">
        <f>I38*G38</f>
        <v>40000</v>
      </c>
    </row>
    <row r="39" spans="2:10" s="3" customFormat="1" ht="18">
      <c r="B39" s="135" t="s">
        <v>55</v>
      </c>
      <c r="C39" s="136"/>
      <c r="D39" s="137"/>
      <c r="E39" s="241" t="s">
        <v>69</v>
      </c>
      <c r="F39" s="240"/>
      <c r="G39" s="159">
        <f>E14</f>
        <v>8000</v>
      </c>
      <c r="H39" s="150" t="s">
        <v>64</v>
      </c>
      <c r="I39" s="152">
        <v>7</v>
      </c>
      <c r="J39" s="118">
        <f>I39*G39</f>
        <v>56000</v>
      </c>
    </row>
    <row r="40" spans="2:12" ht="18">
      <c r="B40" s="254" t="s">
        <v>15</v>
      </c>
      <c r="C40" s="255"/>
      <c r="D40" s="255"/>
      <c r="E40" s="255"/>
      <c r="F40" s="255"/>
      <c r="G40" s="255"/>
      <c r="H40" s="255"/>
      <c r="I40" s="255"/>
      <c r="J40" s="111">
        <f>SUM(J37:J39)</f>
        <v>156000</v>
      </c>
      <c r="K40" s="3"/>
      <c r="L40" s="16"/>
    </row>
    <row r="41" spans="2:12" s="3" customFormat="1" ht="18">
      <c r="B41" s="84"/>
      <c r="C41" s="84"/>
      <c r="D41" s="84"/>
      <c r="E41" s="84"/>
      <c r="F41" s="84"/>
      <c r="G41" s="25"/>
      <c r="H41" s="84"/>
      <c r="I41" s="84"/>
      <c r="J41" s="27"/>
      <c r="L41" s="19"/>
    </row>
    <row r="42" spans="2:12" s="3" customFormat="1" ht="21">
      <c r="B42" s="242" t="s">
        <v>56</v>
      </c>
      <c r="C42" s="243"/>
      <c r="D42" s="243"/>
      <c r="E42" s="232" t="s">
        <v>58</v>
      </c>
      <c r="F42" s="232"/>
      <c r="G42" s="154" t="s">
        <v>10</v>
      </c>
      <c r="H42" s="155" t="s">
        <v>11</v>
      </c>
      <c r="I42" s="156" t="s">
        <v>59</v>
      </c>
      <c r="J42" s="157" t="s">
        <v>1</v>
      </c>
      <c r="L42" s="24"/>
    </row>
    <row r="43" spans="2:12" s="3" customFormat="1" ht="18">
      <c r="B43" s="236" t="s">
        <v>30</v>
      </c>
      <c r="C43" s="237" t="s">
        <v>40</v>
      </c>
      <c r="D43" s="238" t="s">
        <v>40</v>
      </c>
      <c r="E43" s="239"/>
      <c r="F43" s="240"/>
      <c r="G43" s="161"/>
      <c r="H43" s="206"/>
      <c r="I43" s="117"/>
      <c r="J43" s="117"/>
      <c r="L43" s="24"/>
    </row>
    <row r="44" spans="2:12" s="3" customFormat="1" ht="18">
      <c r="B44" s="213" t="s">
        <v>118</v>
      </c>
      <c r="C44" s="138"/>
      <c r="D44" s="139"/>
      <c r="E44" s="241" t="s">
        <v>78</v>
      </c>
      <c r="F44" s="240"/>
      <c r="G44" s="159">
        <v>150</v>
      </c>
      <c r="H44" s="207" t="s">
        <v>64</v>
      </c>
      <c r="I44" s="210">
        <v>370</v>
      </c>
      <c r="J44" s="118">
        <f>G44*I44</f>
        <v>55500</v>
      </c>
      <c r="L44" s="24"/>
    </row>
    <row r="45" spans="2:12" s="3" customFormat="1" ht="18">
      <c r="B45" s="328" t="s">
        <v>114</v>
      </c>
      <c r="C45" s="329"/>
      <c r="D45" s="139"/>
      <c r="E45" s="339" t="s">
        <v>113</v>
      </c>
      <c r="F45" s="340"/>
      <c r="G45" s="159">
        <v>100</v>
      </c>
      <c r="H45" s="207" t="s">
        <v>64</v>
      </c>
      <c r="I45" s="210">
        <v>470</v>
      </c>
      <c r="J45" s="118">
        <f>G45*I45</f>
        <v>47000</v>
      </c>
      <c r="L45" s="24"/>
    </row>
    <row r="46" spans="2:12" s="3" customFormat="1" ht="18">
      <c r="B46" s="197"/>
      <c r="C46" s="198"/>
      <c r="D46" s="139"/>
      <c r="E46" s="199"/>
      <c r="F46" s="194"/>
      <c r="G46" s="159"/>
      <c r="H46" s="207"/>
      <c r="I46" s="210"/>
      <c r="J46" s="118"/>
      <c r="L46" s="24"/>
    </row>
    <row r="47" spans="2:12" s="3" customFormat="1" ht="18">
      <c r="B47" s="233" t="s">
        <v>31</v>
      </c>
      <c r="C47" s="234"/>
      <c r="D47" s="235"/>
      <c r="E47" s="241"/>
      <c r="F47" s="240"/>
      <c r="G47" s="159"/>
      <c r="H47" s="207"/>
      <c r="I47" s="210"/>
      <c r="J47" s="118"/>
      <c r="L47" s="24"/>
    </row>
    <row r="48" spans="2:12" s="3" customFormat="1" ht="18">
      <c r="B48" s="197" t="s">
        <v>115</v>
      </c>
      <c r="C48" s="138"/>
      <c r="D48" s="139"/>
      <c r="E48" s="241" t="s">
        <v>71</v>
      </c>
      <c r="F48" s="240"/>
      <c r="G48" s="159">
        <v>4</v>
      </c>
      <c r="H48" s="207" t="s">
        <v>65</v>
      </c>
      <c r="I48" s="211">
        <v>3721</v>
      </c>
      <c r="J48" s="118">
        <f>G48*I48</f>
        <v>14884</v>
      </c>
      <c r="L48" s="24"/>
    </row>
    <row r="49" spans="2:12" s="3" customFormat="1" ht="18">
      <c r="B49" s="197" t="s">
        <v>116</v>
      </c>
      <c r="C49" s="178"/>
      <c r="D49" s="179"/>
      <c r="E49" s="308" t="s">
        <v>79</v>
      </c>
      <c r="F49" s="309"/>
      <c r="G49" s="158">
        <v>100</v>
      </c>
      <c r="H49" s="208" t="s">
        <v>64</v>
      </c>
      <c r="I49" s="211">
        <v>390</v>
      </c>
      <c r="J49" s="180">
        <f>G49*I49</f>
        <v>39000</v>
      </c>
      <c r="L49" s="24"/>
    </row>
    <row r="50" spans="2:12" s="3" customFormat="1" ht="18">
      <c r="B50" s="197" t="s">
        <v>102</v>
      </c>
      <c r="C50" s="138"/>
      <c r="D50" s="139"/>
      <c r="E50" s="241" t="s">
        <v>75</v>
      </c>
      <c r="F50" s="240"/>
      <c r="G50" s="159">
        <v>2</v>
      </c>
      <c r="H50" s="207" t="s">
        <v>64</v>
      </c>
      <c r="I50" s="211">
        <v>9000</v>
      </c>
      <c r="J50" s="118">
        <f>G50*I50</f>
        <v>18000</v>
      </c>
      <c r="L50" s="24"/>
    </row>
    <row r="51" spans="2:12" s="3" customFormat="1" ht="18">
      <c r="B51" s="177"/>
      <c r="C51" s="138"/>
      <c r="D51" s="139"/>
      <c r="E51" s="187"/>
      <c r="F51" s="186"/>
      <c r="G51" s="159"/>
      <c r="H51" s="207"/>
      <c r="I51" s="210"/>
      <c r="J51" s="118"/>
      <c r="L51" s="24"/>
    </row>
    <row r="52" spans="2:12" s="3" customFormat="1" ht="18">
      <c r="B52" s="123" t="s">
        <v>43</v>
      </c>
      <c r="C52" s="121"/>
      <c r="D52" s="122"/>
      <c r="E52" s="181"/>
      <c r="F52" s="182"/>
      <c r="G52" s="162"/>
      <c r="H52" s="209"/>
      <c r="I52" s="210"/>
      <c r="J52" s="118"/>
      <c r="L52" s="24"/>
    </row>
    <row r="53" spans="2:12" s="3" customFormat="1" ht="18">
      <c r="B53" s="214" t="s">
        <v>103</v>
      </c>
      <c r="C53" s="138"/>
      <c r="D53" s="139"/>
      <c r="E53" s="241" t="s">
        <v>80</v>
      </c>
      <c r="F53" s="240"/>
      <c r="G53" s="159">
        <v>5</v>
      </c>
      <c r="H53" s="207" t="s">
        <v>65</v>
      </c>
      <c r="I53" s="210">
        <v>4500</v>
      </c>
      <c r="J53" s="118">
        <f>G53*I53</f>
        <v>22500</v>
      </c>
      <c r="L53" s="24"/>
    </row>
    <row r="54" spans="2:12" s="3" customFormat="1" ht="18">
      <c r="B54" s="177"/>
      <c r="C54" s="138"/>
      <c r="D54" s="139"/>
      <c r="E54" s="187"/>
      <c r="F54" s="186"/>
      <c r="G54" s="159"/>
      <c r="H54" s="207"/>
      <c r="I54" s="210"/>
      <c r="J54" s="118"/>
      <c r="L54" s="24"/>
    </row>
    <row r="55" spans="2:12" s="3" customFormat="1" ht="18">
      <c r="B55" s="113" t="s">
        <v>41</v>
      </c>
      <c r="C55" s="114"/>
      <c r="D55" s="115"/>
      <c r="E55" s="181"/>
      <c r="F55" s="182"/>
      <c r="G55" s="162"/>
      <c r="H55" s="209"/>
      <c r="I55" s="210"/>
      <c r="J55" s="118"/>
      <c r="L55" s="24"/>
    </row>
    <row r="56" spans="2:12" s="3" customFormat="1" ht="18">
      <c r="B56" s="213" t="s">
        <v>66</v>
      </c>
      <c r="C56" s="138"/>
      <c r="D56" s="139"/>
      <c r="E56" s="241" t="s">
        <v>77</v>
      </c>
      <c r="F56" s="240"/>
      <c r="G56" s="159">
        <v>1</v>
      </c>
      <c r="H56" s="153" t="s">
        <v>63</v>
      </c>
      <c r="I56" s="211">
        <v>80000</v>
      </c>
      <c r="J56" s="118">
        <f>G56*I56</f>
        <v>80000</v>
      </c>
      <c r="L56" s="24"/>
    </row>
    <row r="57" spans="2:12" s="3" customFormat="1" ht="18">
      <c r="B57" s="213" t="s">
        <v>121</v>
      </c>
      <c r="C57" s="138"/>
      <c r="D57" s="139"/>
      <c r="E57" s="241" t="s">
        <v>71</v>
      </c>
      <c r="F57" s="240"/>
      <c r="G57" s="159">
        <v>20</v>
      </c>
      <c r="H57" s="153" t="s">
        <v>62</v>
      </c>
      <c r="I57" s="211">
        <v>1000</v>
      </c>
      <c r="J57" s="118">
        <f>G57*I57</f>
        <v>20000</v>
      </c>
      <c r="L57" s="24"/>
    </row>
    <row r="58" spans="2:12" s="3" customFormat="1" ht="18">
      <c r="B58" s="213" t="s">
        <v>122</v>
      </c>
      <c r="C58" s="138"/>
      <c r="D58" s="139"/>
      <c r="E58" s="241" t="s">
        <v>81</v>
      </c>
      <c r="F58" s="240"/>
      <c r="G58" s="159">
        <v>1</v>
      </c>
      <c r="H58" s="153" t="s">
        <v>62</v>
      </c>
      <c r="I58" s="211">
        <v>10000</v>
      </c>
      <c r="J58" s="118">
        <v>20000</v>
      </c>
      <c r="L58" s="24"/>
    </row>
    <row r="59" spans="2:12" s="3" customFormat="1" ht="21">
      <c r="B59" s="213" t="s">
        <v>123</v>
      </c>
      <c r="C59" s="138"/>
      <c r="D59" s="139"/>
      <c r="E59" s="241" t="s">
        <v>82</v>
      </c>
      <c r="F59" s="240"/>
      <c r="G59" s="163">
        <v>1</v>
      </c>
      <c r="H59" s="153" t="s">
        <v>63</v>
      </c>
      <c r="I59" s="212">
        <v>25000</v>
      </c>
      <c r="J59" s="127">
        <f>G59*I59</f>
        <v>25000</v>
      </c>
      <c r="L59" s="24"/>
    </row>
    <row r="60" spans="2:14" ht="18">
      <c r="B60" s="293" t="s">
        <v>16</v>
      </c>
      <c r="C60" s="294"/>
      <c r="D60" s="294"/>
      <c r="E60" s="294"/>
      <c r="F60" s="294"/>
      <c r="G60" s="294"/>
      <c r="H60" s="294"/>
      <c r="I60" s="294"/>
      <c r="J60" s="112">
        <f>SUM(J43:J59)</f>
        <v>341884</v>
      </c>
      <c r="K60" s="16"/>
      <c r="M60" s="16"/>
      <c r="N60" s="16"/>
    </row>
    <row r="61" spans="2:14" s="3" customFormat="1" ht="18">
      <c r="B61" s="29"/>
      <c r="C61" s="29"/>
      <c r="D61" s="29"/>
      <c r="E61" s="29"/>
      <c r="F61" s="29"/>
      <c r="G61" s="30"/>
      <c r="H61" s="29"/>
      <c r="I61" s="29"/>
      <c r="J61" s="31"/>
      <c r="K61" s="16"/>
      <c r="M61" s="16"/>
      <c r="N61" s="16"/>
    </row>
    <row r="62" spans="2:16" ht="18">
      <c r="B62" s="295" t="s">
        <v>17</v>
      </c>
      <c r="C62" s="296"/>
      <c r="D62" s="296"/>
      <c r="E62" s="296"/>
      <c r="F62" s="296"/>
      <c r="G62" s="296"/>
      <c r="H62" s="296"/>
      <c r="I62" s="296"/>
      <c r="J62" s="94">
        <f>J34+J40+J60</f>
        <v>1091239</v>
      </c>
      <c r="K62" s="16"/>
      <c r="M62" s="16"/>
      <c r="N62" s="16"/>
      <c r="O62" s="9"/>
      <c r="P62" s="9"/>
    </row>
    <row r="63" spans="2:14" s="3" customFormat="1" ht="18">
      <c r="B63" s="85"/>
      <c r="C63" s="85"/>
      <c r="D63" s="85"/>
      <c r="E63" s="85"/>
      <c r="F63" s="85"/>
      <c r="G63" s="32"/>
      <c r="H63" s="85"/>
      <c r="I63" s="85"/>
      <c r="J63" s="27"/>
      <c r="K63" s="16"/>
      <c r="M63" s="16"/>
      <c r="N63" s="16"/>
    </row>
    <row r="64" spans="2:14" s="3" customFormat="1" ht="18">
      <c r="B64" s="128" t="s">
        <v>39</v>
      </c>
      <c r="C64" s="129"/>
      <c r="D64" s="129"/>
      <c r="E64" s="291"/>
      <c r="F64" s="292"/>
      <c r="G64" s="164">
        <v>0.05</v>
      </c>
      <c r="H64" s="173" t="s">
        <v>83</v>
      </c>
      <c r="I64" s="174"/>
      <c r="J64" s="130">
        <f>J62*G64</f>
        <v>54561.950000000004</v>
      </c>
      <c r="K64" s="16"/>
      <c r="M64" s="16"/>
      <c r="N64" s="16"/>
    </row>
    <row r="65" spans="2:14" s="3" customFormat="1" ht="18">
      <c r="B65" s="124"/>
      <c r="C65" s="124"/>
      <c r="D65" s="124"/>
      <c r="E65" s="124"/>
      <c r="F65" s="124"/>
      <c r="G65" s="165"/>
      <c r="H65" s="166"/>
      <c r="I65" s="124"/>
      <c r="J65" s="27"/>
      <c r="K65" s="16"/>
      <c r="M65" s="16"/>
      <c r="N65" s="16"/>
    </row>
    <row r="66" spans="2:14" s="3" customFormat="1" ht="20.25">
      <c r="B66" s="107" t="s">
        <v>38</v>
      </c>
      <c r="C66" s="106"/>
      <c r="D66" s="106"/>
      <c r="E66" s="20"/>
      <c r="F66" s="20"/>
      <c r="G66" s="167"/>
      <c r="H66" s="146"/>
      <c r="I66" s="23"/>
      <c r="J66" s="23"/>
      <c r="K66" s="16"/>
      <c r="M66" s="16"/>
      <c r="N66" s="16"/>
    </row>
    <row r="67" spans="2:14" s="3" customFormat="1" ht="18">
      <c r="B67" s="224" t="s">
        <v>37</v>
      </c>
      <c r="C67" s="225"/>
      <c r="D67" s="225"/>
      <c r="E67" s="232"/>
      <c r="F67" s="232"/>
      <c r="G67" s="154" t="s">
        <v>10</v>
      </c>
      <c r="H67" s="155" t="s">
        <v>11</v>
      </c>
      <c r="I67" s="156"/>
      <c r="J67" s="157" t="s">
        <v>1</v>
      </c>
      <c r="K67" s="16"/>
      <c r="M67" s="16"/>
      <c r="N67" s="16"/>
    </row>
    <row r="68" spans="2:15" s="3" customFormat="1" ht="21">
      <c r="B68" s="297" t="s">
        <v>45</v>
      </c>
      <c r="C68" s="298"/>
      <c r="D68" s="298"/>
      <c r="E68" s="289"/>
      <c r="F68" s="290"/>
      <c r="G68" s="168">
        <f>E17</f>
        <v>0.015</v>
      </c>
      <c r="H68" s="175" t="s">
        <v>83</v>
      </c>
      <c r="I68" s="176"/>
      <c r="J68" s="11">
        <f>J62*E17*E18*0.5</f>
        <v>98211.51</v>
      </c>
      <c r="K68" s="16"/>
      <c r="L68" s="307"/>
      <c r="M68" s="307"/>
      <c r="N68" s="307"/>
      <c r="O68" s="307"/>
    </row>
    <row r="69" spans="2:14" ht="18">
      <c r="B69" s="222" t="s">
        <v>34</v>
      </c>
      <c r="C69" s="223"/>
      <c r="D69" s="223"/>
      <c r="E69" s="223"/>
      <c r="F69" s="223"/>
      <c r="G69" s="223"/>
      <c r="H69" s="223"/>
      <c r="I69" s="223"/>
      <c r="J69" s="111">
        <f>SUM(J68:J68)</f>
        <v>98211.51</v>
      </c>
      <c r="K69" s="16"/>
      <c r="M69" s="16"/>
      <c r="N69" s="16"/>
    </row>
    <row r="70" spans="2:12" s="3" customFormat="1" ht="18">
      <c r="B70" s="84"/>
      <c r="C70" s="84"/>
      <c r="D70" s="84"/>
      <c r="E70" s="84"/>
      <c r="F70" s="84"/>
      <c r="G70" s="25"/>
      <c r="H70" s="84"/>
      <c r="I70" s="84"/>
      <c r="J70" s="27"/>
      <c r="K70" s="16"/>
      <c r="L70" s="16"/>
    </row>
    <row r="71" spans="2:12" ht="18">
      <c r="B71" s="258" t="s">
        <v>19</v>
      </c>
      <c r="C71" s="259"/>
      <c r="D71" s="259"/>
      <c r="E71" s="259"/>
      <c r="F71" s="259"/>
      <c r="G71" s="259"/>
      <c r="H71" s="259"/>
      <c r="I71" s="259"/>
      <c r="J71" s="271">
        <f>J62+J64+J69</f>
        <v>1244012.46</v>
      </c>
      <c r="K71" s="16"/>
      <c r="L71" s="16"/>
    </row>
    <row r="72" spans="2:12" s="3" customFormat="1" ht="18">
      <c r="B72" s="222"/>
      <c r="C72" s="223"/>
      <c r="D72" s="223"/>
      <c r="E72" s="223"/>
      <c r="F72" s="223"/>
      <c r="G72" s="223"/>
      <c r="H72" s="223"/>
      <c r="I72" s="223"/>
      <c r="J72" s="272"/>
      <c r="K72" s="16"/>
      <c r="L72" s="16"/>
    </row>
    <row r="73" spans="2:12" s="3" customFormat="1" ht="18" customHeight="1">
      <c r="B73" s="132"/>
      <c r="C73" s="132"/>
      <c r="D73" s="132"/>
      <c r="E73" s="132"/>
      <c r="F73" s="132"/>
      <c r="G73" s="132"/>
      <c r="H73" s="132"/>
      <c r="I73" s="132"/>
      <c r="J73" s="133"/>
      <c r="K73" s="16"/>
      <c r="L73" s="16"/>
    </row>
    <row r="74" spans="2:12" ht="18" customHeight="1">
      <c r="B74" s="260" t="s">
        <v>46</v>
      </c>
      <c r="C74" s="261"/>
      <c r="D74" s="261"/>
      <c r="E74" s="261"/>
      <c r="F74" s="261"/>
      <c r="G74" s="261"/>
      <c r="H74" s="261"/>
      <c r="I74" s="261"/>
      <c r="J74" s="262"/>
      <c r="K74" s="16"/>
      <c r="L74" s="24"/>
    </row>
    <row r="75" spans="2:12" ht="18" customHeight="1">
      <c r="B75" s="228" t="s">
        <v>84</v>
      </c>
      <c r="C75" s="229"/>
      <c r="D75" s="229"/>
      <c r="E75" s="229"/>
      <c r="F75" s="229"/>
      <c r="G75" s="229"/>
      <c r="H75" s="229"/>
      <c r="I75" s="229"/>
      <c r="J75" s="230"/>
      <c r="K75" s="16"/>
      <c r="L75" s="24"/>
    </row>
    <row r="76" spans="2:12" s="3" customFormat="1" ht="18" customHeight="1">
      <c r="B76" s="231" t="s">
        <v>87</v>
      </c>
      <c r="C76" s="231"/>
      <c r="D76" s="231"/>
      <c r="E76" s="264" t="s">
        <v>85</v>
      </c>
      <c r="F76" s="265"/>
      <c r="G76" s="265"/>
      <c r="H76" s="265"/>
      <c r="I76" s="265"/>
      <c r="J76" s="266"/>
      <c r="K76" s="16"/>
      <c r="L76" s="24"/>
    </row>
    <row r="77" spans="2:12" s="3" customFormat="1" ht="18" customHeight="1">
      <c r="B77" s="231"/>
      <c r="C77" s="231"/>
      <c r="D77" s="231"/>
      <c r="E77" s="227">
        <f>G77*0.9</f>
        <v>216</v>
      </c>
      <c r="F77" s="227"/>
      <c r="G77" s="284">
        <f>E15</f>
        <v>240</v>
      </c>
      <c r="H77" s="284"/>
      <c r="I77" s="267">
        <f>G77*1.1</f>
        <v>264</v>
      </c>
      <c r="J77" s="268"/>
      <c r="K77" s="16"/>
      <c r="L77" s="24"/>
    </row>
    <row r="78" spans="2:12" s="3" customFormat="1" ht="18" customHeight="1">
      <c r="B78" s="227">
        <f>B79*0.9</f>
        <v>7200</v>
      </c>
      <c r="C78" s="227"/>
      <c r="D78" s="227"/>
      <c r="E78" s="226">
        <f>E$77*$B$78-Hoja1!$C$40</f>
        <v>338547.54000000004</v>
      </c>
      <c r="F78" s="226"/>
      <c r="G78" s="226">
        <f>G$77*$B$78-Hoja1!$C$40</f>
        <v>511347.54000000004</v>
      </c>
      <c r="H78" s="226"/>
      <c r="I78" s="269">
        <f>I$77*$B$78-Hoja1!$C$40</f>
        <v>684147.54</v>
      </c>
      <c r="J78" s="270"/>
      <c r="K78" s="16"/>
      <c r="L78" s="24"/>
    </row>
    <row r="79" spans="2:12" s="3" customFormat="1" ht="18" customHeight="1">
      <c r="B79" s="227">
        <f>E14</f>
        <v>8000</v>
      </c>
      <c r="C79" s="227"/>
      <c r="D79" s="227"/>
      <c r="E79" s="226">
        <f>E$77*$B$79-$J$71</f>
        <v>483987.54000000004</v>
      </c>
      <c r="F79" s="226"/>
      <c r="G79" s="226">
        <f>G$77*$B$79-$J$71</f>
        <v>675987.54</v>
      </c>
      <c r="H79" s="226"/>
      <c r="I79" s="269">
        <f>I$77*$B$79-$J$71</f>
        <v>867987.54</v>
      </c>
      <c r="J79" s="270"/>
      <c r="K79" s="16"/>
      <c r="L79" s="24"/>
    </row>
    <row r="80" spans="2:12" s="3" customFormat="1" ht="18" customHeight="1">
      <c r="B80" s="227">
        <f>B79*1.1</f>
        <v>8800</v>
      </c>
      <c r="C80" s="227"/>
      <c r="D80" s="227"/>
      <c r="E80" s="226">
        <f>E$77*$B$80-Hoja1!$D$40</f>
        <v>623851.345</v>
      </c>
      <c r="F80" s="226"/>
      <c r="G80" s="226">
        <f>G$77*$B$80-Hoja1!$D$40</f>
        <v>835051.345</v>
      </c>
      <c r="H80" s="226"/>
      <c r="I80" s="269">
        <f>I$77*$B$80-Hoja1!$D$40</f>
        <v>1046251.345</v>
      </c>
      <c r="J80" s="270"/>
      <c r="K80" s="16"/>
      <c r="L80" s="24"/>
    </row>
    <row r="81" spans="2:12" s="3" customFormat="1" ht="18" customHeight="1">
      <c r="B81" s="188"/>
      <c r="C81" s="188"/>
      <c r="D81" s="188"/>
      <c r="E81" s="169"/>
      <c r="F81" s="169"/>
      <c r="G81" s="169"/>
      <c r="H81" s="169"/>
      <c r="I81" s="169"/>
      <c r="J81" s="169"/>
      <c r="K81" s="16"/>
      <c r="L81" s="24"/>
    </row>
    <row r="82" spans="2:12" s="3" customFormat="1" ht="18" customHeight="1">
      <c r="B82" s="188"/>
      <c r="C82" s="188"/>
      <c r="D82" s="188"/>
      <c r="E82" s="169"/>
      <c r="F82" s="169"/>
      <c r="G82" s="169"/>
      <c r="H82" s="169"/>
      <c r="I82" s="169"/>
      <c r="J82" s="169"/>
      <c r="K82" s="16"/>
      <c r="L82" s="24"/>
    </row>
    <row r="83" spans="2:12" s="3" customFormat="1" ht="18" customHeight="1">
      <c r="B83" s="188"/>
      <c r="C83" s="188"/>
      <c r="D83" s="188"/>
      <c r="E83" s="169"/>
      <c r="F83" s="169"/>
      <c r="G83" s="169"/>
      <c r="H83" s="169"/>
      <c r="I83" s="169"/>
      <c r="J83" s="169"/>
      <c r="K83" s="16"/>
      <c r="L83" s="24"/>
    </row>
    <row r="84" spans="2:12" s="3" customFormat="1" ht="18" customHeight="1">
      <c r="B84" s="34"/>
      <c r="C84" s="34"/>
      <c r="D84" s="34"/>
      <c r="E84" s="169"/>
      <c r="F84" s="169"/>
      <c r="G84" s="169"/>
      <c r="H84" s="169"/>
      <c r="I84" s="169"/>
      <c r="J84" s="169"/>
      <c r="K84" s="16"/>
      <c r="L84" s="24"/>
    </row>
    <row r="85" spans="2:12" s="3" customFormat="1" ht="18" customHeight="1">
      <c r="B85" s="34"/>
      <c r="C85" s="34"/>
      <c r="D85" s="35"/>
      <c r="E85" s="35"/>
      <c r="F85" s="35"/>
      <c r="G85" s="36"/>
      <c r="H85" s="12"/>
      <c r="I85" s="15"/>
      <c r="J85" s="15"/>
      <c r="K85" s="16"/>
      <c r="L85" s="24"/>
    </row>
    <row r="86" spans="2:12" s="3" customFormat="1" ht="18" customHeight="1">
      <c r="B86" s="278" t="s">
        <v>86</v>
      </c>
      <c r="C86" s="279"/>
      <c r="D86" s="279"/>
      <c r="E86" s="279"/>
      <c r="F86" s="279"/>
      <c r="G86" s="279"/>
      <c r="H86" s="279"/>
      <c r="I86" s="279"/>
      <c r="J86" s="280"/>
      <c r="K86" s="16"/>
      <c r="L86" s="24"/>
    </row>
    <row r="87" spans="2:12" s="3" customFormat="1" ht="18" customHeight="1">
      <c r="B87" s="281"/>
      <c r="C87" s="282"/>
      <c r="D87" s="282"/>
      <c r="E87" s="282"/>
      <c r="F87" s="282"/>
      <c r="G87" s="282"/>
      <c r="H87" s="282"/>
      <c r="I87" s="282"/>
      <c r="J87" s="283"/>
      <c r="K87" s="16"/>
      <c r="L87" s="24"/>
    </row>
    <row r="88" spans="2:12" s="3" customFormat="1" ht="18" customHeight="1">
      <c r="B88" s="273" t="s">
        <v>87</v>
      </c>
      <c r="C88" s="274"/>
      <c r="D88" s="274"/>
      <c r="E88" s="274">
        <f>B78</f>
        <v>7200</v>
      </c>
      <c r="F88" s="274"/>
      <c r="G88" s="274">
        <f>E14</f>
        <v>8000</v>
      </c>
      <c r="H88" s="274"/>
      <c r="I88" s="274">
        <f>B80</f>
        <v>8800</v>
      </c>
      <c r="J88" s="326"/>
      <c r="K88" s="16"/>
      <c r="L88" s="24"/>
    </row>
    <row r="89" spans="2:12" ht="18" customHeight="1">
      <c r="B89" s="275"/>
      <c r="C89" s="276"/>
      <c r="D89" s="276"/>
      <c r="E89" s="276"/>
      <c r="F89" s="276"/>
      <c r="G89" s="276"/>
      <c r="H89" s="276"/>
      <c r="I89" s="276"/>
      <c r="J89" s="327"/>
      <c r="K89" s="16"/>
      <c r="L89" s="24"/>
    </row>
    <row r="90" spans="2:12" ht="18" customHeight="1">
      <c r="B90" s="285" t="s">
        <v>88</v>
      </c>
      <c r="C90" s="286"/>
      <c r="D90" s="286"/>
      <c r="E90" s="277">
        <f>Hoja1!C40/' vinif_caber-sauvig_O Hig-2014'!E88</f>
        <v>168.97950833333334</v>
      </c>
      <c r="F90" s="277"/>
      <c r="G90" s="263">
        <f>$J$71/G88</f>
        <v>155.5015575</v>
      </c>
      <c r="H90" s="263"/>
      <c r="I90" s="277">
        <f>Hoja1!D40/' vinif_caber-sauvig_O Hig-2014'!I88</f>
        <v>145.10780170454547</v>
      </c>
      <c r="J90" s="324"/>
      <c r="K90" s="16"/>
      <c r="L90" s="24"/>
    </row>
    <row r="91" spans="2:12" ht="18" customHeight="1">
      <c r="B91" s="287"/>
      <c r="C91" s="288"/>
      <c r="D91" s="288"/>
      <c r="E91" s="263"/>
      <c r="F91" s="263"/>
      <c r="G91" s="263"/>
      <c r="H91" s="263"/>
      <c r="I91" s="263"/>
      <c r="J91" s="325"/>
      <c r="K91" s="16"/>
      <c r="L91" s="24"/>
    </row>
    <row r="92" spans="2:12" ht="18" customHeight="1">
      <c r="B92" s="46"/>
      <c r="C92" s="1"/>
      <c r="D92" s="3"/>
      <c r="E92" s="3"/>
      <c r="F92" s="95"/>
      <c r="G92" s="95"/>
      <c r="H92" s="95"/>
      <c r="I92" s="15"/>
      <c r="J92" s="15"/>
      <c r="K92" s="16"/>
      <c r="L92" s="24"/>
    </row>
    <row r="93" spans="2:11" s="3" customFormat="1" ht="18" customHeight="1">
      <c r="B93" s="248" t="s">
        <v>21</v>
      </c>
      <c r="C93" s="249"/>
      <c r="D93" s="249"/>
      <c r="E93" s="249"/>
      <c r="F93" s="249"/>
      <c r="G93" s="249"/>
      <c r="H93" s="249"/>
      <c r="I93" s="249"/>
      <c r="J93" s="250"/>
      <c r="K93" s="80"/>
    </row>
    <row r="94" spans="2:14" s="3" customFormat="1" ht="18" customHeight="1">
      <c r="B94" s="245" t="s">
        <v>117</v>
      </c>
      <c r="C94" s="246"/>
      <c r="D94" s="246"/>
      <c r="E94" s="246"/>
      <c r="F94" s="246"/>
      <c r="G94" s="246"/>
      <c r="H94" s="246"/>
      <c r="I94" s="246"/>
      <c r="J94" s="247"/>
      <c r="K94" s="80"/>
      <c r="N94" s="96"/>
    </row>
    <row r="95" spans="2:14" s="3" customFormat="1" ht="17.25" customHeight="1">
      <c r="B95" s="245" t="s">
        <v>97</v>
      </c>
      <c r="C95" s="246"/>
      <c r="D95" s="246"/>
      <c r="E95" s="246"/>
      <c r="F95" s="246"/>
      <c r="G95" s="246"/>
      <c r="H95" s="246"/>
      <c r="I95" s="246"/>
      <c r="J95" s="247"/>
      <c r="K95" s="80"/>
      <c r="N95" s="96"/>
    </row>
    <row r="96" spans="2:11" s="3" customFormat="1" ht="30" customHeight="1">
      <c r="B96" s="321" t="s">
        <v>89</v>
      </c>
      <c r="C96" s="322"/>
      <c r="D96" s="322"/>
      <c r="E96" s="322"/>
      <c r="F96" s="322"/>
      <c r="G96" s="322"/>
      <c r="H96" s="322"/>
      <c r="I96" s="322"/>
      <c r="J96" s="323"/>
      <c r="K96" s="81"/>
    </row>
    <row r="97" spans="2:11" s="3" customFormat="1" ht="18" customHeight="1">
      <c r="B97" s="245" t="s">
        <v>90</v>
      </c>
      <c r="C97" s="246"/>
      <c r="D97" s="246"/>
      <c r="E97" s="246"/>
      <c r="F97" s="246"/>
      <c r="G97" s="246"/>
      <c r="H97" s="246"/>
      <c r="I97" s="246"/>
      <c r="J97" s="247"/>
      <c r="K97" s="80"/>
    </row>
    <row r="98" spans="2:11" s="3" customFormat="1" ht="18" customHeight="1">
      <c r="B98" s="245" t="s">
        <v>91</v>
      </c>
      <c r="C98" s="246"/>
      <c r="D98" s="246"/>
      <c r="E98" s="246"/>
      <c r="F98" s="246"/>
      <c r="G98" s="246"/>
      <c r="H98" s="246"/>
      <c r="I98" s="246"/>
      <c r="J98" s="247"/>
      <c r="K98" s="80"/>
    </row>
    <row r="99" spans="2:11" s="3" customFormat="1" ht="17.25" customHeight="1">
      <c r="B99" s="251" t="s">
        <v>92</v>
      </c>
      <c r="C99" s="252"/>
      <c r="D99" s="252"/>
      <c r="E99" s="252"/>
      <c r="F99" s="252"/>
      <c r="G99" s="252"/>
      <c r="H99" s="252"/>
      <c r="I99" s="252"/>
      <c r="J99" s="253"/>
      <c r="K99" s="80"/>
    </row>
    <row r="100" spans="2:11" s="3" customFormat="1" ht="18" customHeight="1">
      <c r="B100" s="318" t="s">
        <v>93</v>
      </c>
      <c r="C100" s="319"/>
      <c r="D100" s="319"/>
      <c r="E100" s="319"/>
      <c r="F100" s="319"/>
      <c r="G100" s="319"/>
      <c r="H100" s="319"/>
      <c r="I100" s="319"/>
      <c r="J100" s="320"/>
      <c r="K100" s="81"/>
    </row>
    <row r="101" spans="2:11" s="3" customFormat="1" ht="18" customHeight="1">
      <c r="B101" s="147"/>
      <c r="C101" s="147"/>
      <c r="D101" s="147"/>
      <c r="E101" s="147"/>
      <c r="F101" s="147"/>
      <c r="G101" s="147"/>
      <c r="H101" s="147"/>
      <c r="I101" s="147"/>
      <c r="J101" s="147"/>
      <c r="K101" s="81"/>
    </row>
    <row r="102" spans="2:11" s="3" customFormat="1" ht="18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3"/>
    </row>
    <row r="103" spans="2:11" s="3" customFormat="1" ht="16.5" customHeight="1">
      <c r="B103" s="39"/>
      <c r="C103" s="39"/>
      <c r="D103" s="39"/>
      <c r="E103" s="39"/>
      <c r="F103" s="39"/>
      <c r="G103" s="40"/>
      <c r="H103" s="39"/>
      <c r="I103" s="39"/>
      <c r="J103" s="39"/>
      <c r="K103" s="9"/>
    </row>
    <row r="104" spans="2:11" s="3" customFormat="1" ht="15">
      <c r="B104" s="4"/>
      <c r="C104" s="4"/>
      <c r="D104" s="4"/>
      <c r="E104" s="4"/>
      <c r="F104" s="4"/>
      <c r="G104" s="5"/>
      <c r="H104" s="4"/>
      <c r="I104" s="4"/>
      <c r="J104" s="4"/>
      <c r="K104" s="9"/>
    </row>
    <row r="105" spans="2:11" s="3" customFormat="1" ht="15">
      <c r="B105" s="6"/>
      <c r="C105" s="6"/>
      <c r="D105" s="6"/>
      <c r="E105" s="6"/>
      <c r="F105" s="6"/>
      <c r="G105" s="7"/>
      <c r="H105" s="6"/>
      <c r="I105" s="6"/>
      <c r="J105" s="6"/>
      <c r="K105" s="9"/>
    </row>
    <row r="106" spans="2:11" s="3" customFormat="1" ht="15">
      <c r="B106" s="6"/>
      <c r="C106" s="6"/>
      <c r="D106" s="6"/>
      <c r="E106" s="6"/>
      <c r="F106" s="6"/>
      <c r="G106" s="7"/>
      <c r="H106" s="6"/>
      <c r="I106" s="6"/>
      <c r="J106" s="6"/>
      <c r="K106" s="9"/>
    </row>
    <row r="107" spans="2:11" s="3" customFormat="1" ht="15">
      <c r="B107" s="6"/>
      <c r="C107" s="6"/>
      <c r="D107" s="6"/>
      <c r="E107" s="6"/>
      <c r="F107" s="6"/>
      <c r="G107" s="7"/>
      <c r="H107" s="6"/>
      <c r="I107" s="6"/>
      <c r="J107" s="6"/>
      <c r="K107" s="9"/>
    </row>
    <row r="108" spans="2:12" s="3" customFormat="1" ht="15">
      <c r="B108" s="67"/>
      <c r="C108" s="67"/>
      <c r="D108" s="67"/>
      <c r="E108" s="67"/>
      <c r="F108" s="67"/>
      <c r="G108" s="68"/>
      <c r="H108" s="67"/>
      <c r="I108" s="67"/>
      <c r="J108" s="67"/>
      <c r="K108" s="69"/>
      <c r="L108" s="67"/>
    </row>
    <row r="109" spans="2:12" s="3" customFormat="1" ht="15">
      <c r="B109" s="67"/>
      <c r="C109" s="67"/>
      <c r="D109" s="67"/>
      <c r="E109" s="67"/>
      <c r="F109" s="67"/>
      <c r="G109" s="68"/>
      <c r="H109" s="67"/>
      <c r="I109" s="67"/>
      <c r="J109" s="67"/>
      <c r="K109" s="69"/>
      <c r="L109" s="67"/>
    </row>
    <row r="110" spans="2:12" s="3" customFormat="1" ht="15">
      <c r="B110" s="67"/>
      <c r="C110" s="67"/>
      <c r="D110" s="67"/>
      <c r="E110" s="67"/>
      <c r="F110" s="67"/>
      <c r="G110" s="68"/>
      <c r="H110" s="67"/>
      <c r="I110" s="67"/>
      <c r="J110" s="67"/>
      <c r="K110" s="69"/>
      <c r="L110" s="67"/>
    </row>
    <row r="111" spans="2:12" s="3" customFormat="1" ht="15">
      <c r="B111" s="67"/>
      <c r="C111" s="67"/>
      <c r="D111" s="67"/>
      <c r="E111" s="67"/>
      <c r="F111" s="67"/>
      <c r="G111" s="68"/>
      <c r="H111" s="67"/>
      <c r="I111" s="67"/>
      <c r="J111" s="67"/>
      <c r="K111" s="69"/>
      <c r="L111" s="67"/>
    </row>
    <row r="112" spans="2:12" ht="18">
      <c r="B112" s="56"/>
      <c r="C112" s="56"/>
      <c r="D112" s="57"/>
      <c r="E112" s="57"/>
      <c r="F112" s="58"/>
      <c r="G112" s="58"/>
      <c r="H112" s="58"/>
      <c r="I112" s="67"/>
      <c r="J112" s="67"/>
      <c r="K112" s="69"/>
      <c r="L112" s="67"/>
    </row>
    <row r="113" spans="2:12" ht="18">
      <c r="B113" s="56"/>
      <c r="C113" s="59"/>
      <c r="D113" s="59"/>
      <c r="E113" s="60"/>
      <c r="F113" s="59"/>
      <c r="G113" s="61"/>
      <c r="H113" s="62"/>
      <c r="I113" s="67"/>
      <c r="J113" s="67"/>
      <c r="K113" s="69"/>
      <c r="L113" s="67"/>
    </row>
    <row r="114" spans="2:12" ht="18">
      <c r="B114" s="57"/>
      <c r="C114" s="57"/>
      <c r="D114" s="57"/>
      <c r="E114" s="57"/>
      <c r="F114" s="57"/>
      <c r="G114" s="57"/>
      <c r="H114" s="57"/>
      <c r="I114" s="67"/>
      <c r="J114" s="67"/>
      <c r="K114" s="69"/>
      <c r="L114" s="67"/>
    </row>
    <row r="115" spans="2:12" ht="18">
      <c r="B115" s="56"/>
      <c r="C115" s="57"/>
      <c r="D115" s="57"/>
      <c r="E115" s="57"/>
      <c r="F115" s="57"/>
      <c r="G115" s="57"/>
      <c r="H115" s="57"/>
      <c r="I115" s="67"/>
      <c r="J115" s="67"/>
      <c r="K115" s="69"/>
      <c r="L115" s="67"/>
    </row>
    <row r="116" spans="2:12" ht="18">
      <c r="B116" s="70"/>
      <c r="C116" s="71"/>
      <c r="D116" s="71"/>
      <c r="E116" s="63"/>
      <c r="F116" s="63"/>
      <c r="G116" s="63"/>
      <c r="H116" s="63"/>
      <c r="I116" s="67"/>
      <c r="J116" s="69"/>
      <c r="K116" s="69"/>
      <c r="L116" s="67"/>
    </row>
    <row r="117" spans="2:12" ht="18">
      <c r="B117" s="70"/>
      <c r="C117" s="71"/>
      <c r="D117" s="71"/>
      <c r="E117" s="63"/>
      <c r="F117" s="63"/>
      <c r="G117" s="63"/>
      <c r="H117" s="63"/>
      <c r="I117" s="67"/>
      <c r="J117" s="69"/>
      <c r="K117" s="69"/>
      <c r="L117" s="67"/>
    </row>
    <row r="118" spans="2:12" ht="18">
      <c r="B118" s="64"/>
      <c r="C118" s="65"/>
      <c r="D118" s="65"/>
      <c r="E118" s="64"/>
      <c r="F118" s="64"/>
      <c r="G118" s="64"/>
      <c r="H118" s="66"/>
      <c r="I118" s="67"/>
      <c r="J118" s="67"/>
      <c r="K118" s="69"/>
      <c r="L118" s="67"/>
    </row>
    <row r="119" spans="2:12" ht="18">
      <c r="B119" s="57"/>
      <c r="C119" s="57"/>
      <c r="D119" s="57"/>
      <c r="E119" s="57"/>
      <c r="F119" s="57"/>
      <c r="G119" s="57"/>
      <c r="H119" s="57"/>
      <c r="I119" s="67"/>
      <c r="J119" s="67"/>
      <c r="K119" s="69"/>
      <c r="L119" s="67"/>
    </row>
    <row r="120" spans="2:12" ht="18">
      <c r="B120" s="56"/>
      <c r="C120" s="57"/>
      <c r="D120" s="57"/>
      <c r="E120" s="57"/>
      <c r="F120" s="57"/>
      <c r="G120" s="57"/>
      <c r="H120" s="57"/>
      <c r="I120" s="67"/>
      <c r="J120" s="67"/>
      <c r="K120" s="69"/>
      <c r="L120" s="67"/>
    </row>
    <row r="121" spans="2:12" ht="18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244"/>
      <c r="C123" s="244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64"/>
      <c r="C134" s="65"/>
      <c r="D134" s="65"/>
      <c r="E134" s="64"/>
      <c r="F134" s="64"/>
      <c r="G134" s="64"/>
      <c r="H134" s="66"/>
      <c r="I134" s="67"/>
      <c r="J134" s="67"/>
      <c r="K134" s="69"/>
      <c r="L134" s="67"/>
    </row>
    <row r="135" spans="2:12" ht="18">
      <c r="B135" s="57"/>
      <c r="C135" s="57"/>
      <c r="D135" s="57"/>
      <c r="E135" s="57"/>
      <c r="F135" s="57"/>
      <c r="G135" s="57"/>
      <c r="H135" s="57"/>
      <c r="I135" s="67"/>
      <c r="J135" s="67"/>
      <c r="K135" s="69"/>
      <c r="L135" s="67"/>
    </row>
    <row r="136" spans="2:12" ht="18">
      <c r="B136" s="64"/>
      <c r="C136" s="65"/>
      <c r="D136" s="65"/>
      <c r="E136" s="64"/>
      <c r="F136" s="64"/>
      <c r="G136" s="64"/>
      <c r="H136" s="66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77"/>
      <c r="C147" s="77"/>
      <c r="D147" s="77"/>
      <c r="E147" s="77"/>
      <c r="F147" s="7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9"/>
      <c r="D150" s="69"/>
      <c r="E150" s="69"/>
      <c r="F150" s="69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9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9"/>
      <c r="D157" s="69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8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9"/>
      <c r="C170" s="69"/>
      <c r="D170" s="69"/>
      <c r="E170" s="69"/>
      <c r="F170" s="69"/>
      <c r="G170" s="69"/>
      <c r="H170" s="69"/>
      <c r="I170" s="69"/>
      <c r="J170" s="67"/>
      <c r="K170" s="69"/>
      <c r="L170" s="67"/>
    </row>
    <row r="171" spans="2:12" s="3" customFormat="1" ht="15">
      <c r="B171" s="69"/>
      <c r="C171" s="69"/>
      <c r="D171" s="69"/>
      <c r="E171" s="69"/>
      <c r="F171" s="69"/>
      <c r="G171" s="78"/>
      <c r="H171" s="69"/>
      <c r="I171" s="69"/>
      <c r="J171" s="67"/>
      <c r="K171" s="69"/>
      <c r="L171" s="78"/>
    </row>
    <row r="172" spans="2:12" s="3" customFormat="1" ht="15">
      <c r="B172" s="69"/>
      <c r="C172" s="69"/>
      <c r="D172" s="69"/>
      <c r="E172" s="69"/>
      <c r="F172" s="69"/>
      <c r="G172" s="69"/>
      <c r="H172" s="69"/>
      <c r="I172" s="79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9"/>
      <c r="I179" s="69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9"/>
      <c r="I180" s="69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9"/>
      <c r="I181" s="69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9"/>
      <c r="I190" s="69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</sheetData>
  <sheetProtection/>
  <mergeCells count="102">
    <mergeCell ref="B42:D42"/>
    <mergeCell ref="B95:J95"/>
    <mergeCell ref="B45:C45"/>
    <mergeCell ref="B38:D38"/>
    <mergeCell ref="E38:F38"/>
    <mergeCell ref="G8:H8"/>
    <mergeCell ref="G9:I9"/>
    <mergeCell ref="G10:H10"/>
    <mergeCell ref="G11:H11"/>
    <mergeCell ref="D9:E9"/>
    <mergeCell ref="D10:F10"/>
    <mergeCell ref="E31:F31"/>
    <mergeCell ref="B15:D15"/>
    <mergeCell ref="E22:F22"/>
    <mergeCell ref="B22:D22"/>
    <mergeCell ref="B100:J100"/>
    <mergeCell ref="B98:J98"/>
    <mergeCell ref="B96:J96"/>
    <mergeCell ref="I90:J91"/>
    <mergeCell ref="I88:J89"/>
    <mergeCell ref="I79:J79"/>
    <mergeCell ref="D2:J2"/>
    <mergeCell ref="E37:F37"/>
    <mergeCell ref="B34:I34"/>
    <mergeCell ref="B37:D37"/>
    <mergeCell ref="D7:J7"/>
    <mergeCell ref="E21:F21"/>
    <mergeCell ref="E24:F24"/>
    <mergeCell ref="E25:F25"/>
    <mergeCell ref="E26:F26"/>
    <mergeCell ref="E27:F27"/>
    <mergeCell ref="L68:O68"/>
    <mergeCell ref="E49:F49"/>
    <mergeCell ref="E58:F58"/>
    <mergeCell ref="E53:F53"/>
    <mergeCell ref="E56:F56"/>
    <mergeCell ref="E48:F48"/>
    <mergeCell ref="E57:F57"/>
    <mergeCell ref="B62:I62"/>
    <mergeCell ref="B68:D68"/>
    <mergeCell ref="E67:F67"/>
    <mergeCell ref="B13:E13"/>
    <mergeCell ref="G13:J13"/>
    <mergeCell ref="E23:F23"/>
    <mergeCell ref="E30:F30"/>
    <mergeCell ref="E29:F29"/>
    <mergeCell ref="E28:F28"/>
    <mergeCell ref="E32:F32"/>
    <mergeCell ref="E90:F91"/>
    <mergeCell ref="G88:H89"/>
    <mergeCell ref="B79:D79"/>
    <mergeCell ref="E79:F79"/>
    <mergeCell ref="E88:F89"/>
    <mergeCell ref="B86:J87"/>
    <mergeCell ref="B90:D91"/>
    <mergeCell ref="B80:D80"/>
    <mergeCell ref="E76:J76"/>
    <mergeCell ref="I77:J77"/>
    <mergeCell ref="I80:J80"/>
    <mergeCell ref="G78:H78"/>
    <mergeCell ref="J71:J72"/>
    <mergeCell ref="B88:D89"/>
    <mergeCell ref="I78:J78"/>
    <mergeCell ref="E77:F77"/>
    <mergeCell ref="G77:H77"/>
    <mergeCell ref="E78:F78"/>
    <mergeCell ref="D3:J3"/>
    <mergeCell ref="D4:J4"/>
    <mergeCell ref="E47:F47"/>
    <mergeCell ref="B40:I40"/>
    <mergeCell ref="E33:F33"/>
    <mergeCell ref="B71:I72"/>
    <mergeCell ref="E68:F68"/>
    <mergeCell ref="E59:F59"/>
    <mergeCell ref="E64:F64"/>
    <mergeCell ref="B60:I60"/>
    <mergeCell ref="B36:D36"/>
    <mergeCell ref="E39:F39"/>
    <mergeCell ref="E42:F42"/>
    <mergeCell ref="B123:C123"/>
    <mergeCell ref="B94:J94"/>
    <mergeCell ref="B93:J93"/>
    <mergeCell ref="B99:J99"/>
    <mergeCell ref="B97:J97"/>
    <mergeCell ref="B74:J74"/>
    <mergeCell ref="G90:H91"/>
    <mergeCell ref="B47:D47"/>
    <mergeCell ref="B43:D43"/>
    <mergeCell ref="E43:F43"/>
    <mergeCell ref="E44:F44"/>
    <mergeCell ref="E50:F50"/>
    <mergeCell ref="E45:F45"/>
    <mergeCell ref="D5:J6"/>
    <mergeCell ref="B69:I69"/>
    <mergeCell ref="B67:D67"/>
    <mergeCell ref="G80:H80"/>
    <mergeCell ref="B78:D78"/>
    <mergeCell ref="G79:H79"/>
    <mergeCell ref="E80:F80"/>
    <mergeCell ref="B75:J75"/>
    <mergeCell ref="B76:D77"/>
    <mergeCell ref="E36:F3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23</v>
      </c>
      <c r="C2" s="50">
        <f>((' vinif_caber-sauvig_O Hig-2014'!E14-45000)/45000)+1</f>
        <v>0.1777777777777778</v>
      </c>
    </row>
    <row r="3" ht="18">
      <c r="B3" s="13"/>
    </row>
    <row r="4" spans="2:3" ht="18">
      <c r="B4" s="337" t="s">
        <v>24</v>
      </c>
      <c r="C4" s="337"/>
    </row>
    <row r="5" spans="2:5" ht="18">
      <c r="B5" s="82" t="s">
        <v>42</v>
      </c>
      <c r="C5" s="119"/>
      <c r="D5" s="83"/>
      <c r="E5" s="3">
        <v>45000</v>
      </c>
    </row>
    <row r="6" spans="2:4" ht="15">
      <c r="B6" s="26"/>
      <c r="C6" s="26"/>
      <c r="D6" s="26"/>
    </row>
    <row r="14" spans="2:4" ht="15">
      <c r="B14" s="338" t="s">
        <v>20</v>
      </c>
      <c r="C14" s="338"/>
      <c r="D14" s="338"/>
    </row>
    <row r="16" spans="2:4" ht="18">
      <c r="B16" s="49" t="s">
        <v>22</v>
      </c>
      <c r="C16" s="48">
        <f>' vinif_caber-sauvig_O Hig-2014'!B78</f>
        <v>7200</v>
      </c>
      <c r="D16" s="48">
        <f>' vinif_caber-sauvig_O Hig-2014'!B80</f>
        <v>8800</v>
      </c>
    </row>
    <row r="17" ht="15">
      <c r="B17" s="24"/>
    </row>
    <row r="18" spans="2:4" ht="15">
      <c r="B18" s="47" t="s">
        <v>23</v>
      </c>
      <c r="C18" s="50">
        <f>((C16-' vinif_caber-sauvig_O Hig-2014'!E14)/' vinif_caber-sauvig_O Hig-2014'!E14)+1</f>
        <v>0.9</v>
      </c>
      <c r="D18" s="50">
        <f>((D16-' vinif_caber-sauvig_O Hig-2014'!E14)/' vinif_caber-sauvig_O Hig-2014'!E14)+1</f>
        <v>1.1</v>
      </c>
    </row>
    <row r="19" spans="2:4" ht="18">
      <c r="B19" s="17"/>
      <c r="C19" s="48"/>
      <c r="D19" s="48"/>
    </row>
    <row r="20" spans="2:4" ht="18">
      <c r="B20" s="49" t="s">
        <v>12</v>
      </c>
      <c r="C20" s="48"/>
      <c r="D20" s="48"/>
    </row>
    <row r="21" spans="2:4" ht="18">
      <c r="B21" s="17" t="s">
        <v>25</v>
      </c>
      <c r="C21" s="9">
        <f>SUM(' vinif_caber-sauvig_O Hig-2014'!J23:J32)</f>
        <v>353355</v>
      </c>
      <c r="D21" s="9">
        <f>SUM(' vinif_caber-sauvig_O Hig-2014'!J23:J32)</f>
        <v>353355</v>
      </c>
    </row>
    <row r="22" spans="2:4" ht="18">
      <c r="B22" s="51" t="s">
        <v>26</v>
      </c>
      <c r="C22" s="52">
        <f>C18*' vinif_caber-sauvig_O Hig-2014'!G33*' vinif_caber-sauvig_O Hig-2014'!I33</f>
        <v>216000</v>
      </c>
      <c r="D22" s="52">
        <f>D18*' vinif_caber-sauvig_O Hig-2014'!G33*' vinif_caber-sauvig_O Hig-2014'!I33</f>
        <v>264000</v>
      </c>
    </row>
    <row r="23" spans="2:4" ht="18">
      <c r="B23" s="17" t="s">
        <v>27</v>
      </c>
      <c r="C23" s="9">
        <f>SUM(C21:C22)</f>
        <v>569355</v>
      </c>
      <c r="D23" s="9">
        <f>SUM(D21:D22)</f>
        <v>617355</v>
      </c>
    </row>
    <row r="24" ht="18">
      <c r="B24" s="17"/>
    </row>
    <row r="25" ht="18">
      <c r="B25" s="49" t="s">
        <v>14</v>
      </c>
    </row>
    <row r="26" spans="2:4" ht="18">
      <c r="B26" s="17" t="s">
        <v>25</v>
      </c>
      <c r="C26" s="9">
        <f>SUM(' vinif_caber-sauvig_O Hig-2014'!J37:J39)</f>
        <v>156000</v>
      </c>
      <c r="D26" s="9">
        <f>SUM(' vinif_caber-sauvig_O Hig-2014'!J37:J39)</f>
        <v>156000</v>
      </c>
    </row>
    <row r="27" spans="2:4" ht="18">
      <c r="B27" s="51" t="s">
        <v>26</v>
      </c>
      <c r="C27" s="52">
        <v>0</v>
      </c>
      <c r="D27" s="52">
        <v>0</v>
      </c>
    </row>
    <row r="28" spans="2:4" ht="18">
      <c r="B28" s="17" t="s">
        <v>27</v>
      </c>
      <c r="C28" s="9">
        <f>SUM(C26:C27)</f>
        <v>156000</v>
      </c>
      <c r="D28" s="9">
        <f>SUM(D26:D27)</f>
        <v>156000</v>
      </c>
    </row>
    <row r="30" ht="18">
      <c r="B30" s="49" t="s">
        <v>28</v>
      </c>
    </row>
    <row r="31" spans="2:4" ht="18">
      <c r="B31" s="17" t="s">
        <v>25</v>
      </c>
      <c r="C31" s="9">
        <f>SUM(' vinif_caber-sauvig_O Hig-2014'!J43:J59)</f>
        <v>341884</v>
      </c>
      <c r="D31" s="9">
        <f>SUM(' vinif_caber-sauvig_O Hig-2014'!J43:J59)</f>
        <v>341884</v>
      </c>
    </row>
    <row r="32" spans="2:4" ht="18">
      <c r="B32" s="51" t="s">
        <v>26</v>
      </c>
      <c r="C32" s="52">
        <v>0</v>
      </c>
      <c r="D32" s="52">
        <v>0</v>
      </c>
    </row>
    <row r="33" spans="2:4" ht="18">
      <c r="B33" s="17" t="s">
        <v>27</v>
      </c>
      <c r="C33" s="9">
        <f>SUM(C31:C32)</f>
        <v>341884</v>
      </c>
      <c r="D33" s="9">
        <f>SUM(D31:D32)</f>
        <v>341884</v>
      </c>
    </row>
    <row r="34" spans="2:4" ht="15">
      <c r="B34" s="24"/>
      <c r="C34" s="28"/>
      <c r="D34" s="28"/>
    </row>
    <row r="35" spans="2:4" ht="18">
      <c r="B35" s="54" t="s">
        <v>29</v>
      </c>
      <c r="C35" s="55">
        <f>C23+C28+C33</f>
        <v>1067239</v>
      </c>
      <c r="D35" s="55">
        <f>D23+D28+D33</f>
        <v>1115239</v>
      </c>
    </row>
    <row r="36" ht="15">
      <c r="B36" s="24"/>
    </row>
    <row r="37" spans="2:4" ht="18">
      <c r="B37" s="53" t="s">
        <v>0</v>
      </c>
      <c r="C37" s="9">
        <f>C35*' vinif_caber-sauvig_O Hig-2014'!G64</f>
        <v>53361.950000000004</v>
      </c>
      <c r="D37" s="9">
        <f>D35*D18*' vinif_caber-sauvig_O Hig-2014'!G64</f>
        <v>61338.14500000001</v>
      </c>
    </row>
    <row r="38" spans="2:4" ht="18">
      <c r="B38" s="53" t="s">
        <v>18</v>
      </c>
      <c r="C38" s="9">
        <f>C35*' vinif_caber-sauvig_O Hig-2014'!E17*' vinif_caber-sauvig_O Hig-2014'!E18*0.5</f>
        <v>96051.51</v>
      </c>
      <c r="D38" s="9">
        <f>D35*' vinif_caber-sauvig_O Hig-2014'!E17*' vinif_caber-sauvig_O Hig-2014'!E18*0.5</f>
        <v>100371.51</v>
      </c>
    </row>
    <row r="39" ht="15">
      <c r="B39" s="24"/>
    </row>
    <row r="40" spans="2:4" ht="18">
      <c r="B40" s="54" t="s">
        <v>19</v>
      </c>
      <c r="C40" s="55">
        <f>C35+C37+C38</f>
        <v>1216652.46</v>
      </c>
      <c r="D40" s="55">
        <f>D35+D37+D38</f>
        <v>1276948.655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2015-03-12T13:08:41Z</cp:lastPrinted>
  <dcterms:created xsi:type="dcterms:W3CDTF">2012-07-09T18:51:50Z</dcterms:created>
  <dcterms:modified xsi:type="dcterms:W3CDTF">2023-06-23T19:00:06Z</dcterms:modified>
  <cp:category/>
  <cp:version/>
  <cp:contentType/>
  <cp:contentStatus/>
</cp:coreProperties>
</file>